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95" activeTab="0"/>
  </bookViews>
  <sheets>
    <sheet name="PAS LABORAL" sheetId="1" r:id="rId1"/>
  </sheets>
  <definedNames>
    <definedName name="_xlnm.Print_Area" localSheetId="0">'PAS LABORAL'!$B$1:$P$107</definedName>
    <definedName name="_xlnm.Print_Titles" localSheetId="0">'PAS LABORAL'!$1:$5</definedName>
  </definedNames>
  <calcPr fullCalcOnLoad="1"/>
</workbook>
</file>

<file path=xl/comments1.xml><?xml version="1.0" encoding="utf-8"?>
<comments xmlns="http://schemas.openxmlformats.org/spreadsheetml/2006/main">
  <authors>
    <author>Servicio de Inform?tica</author>
  </authors>
  <commentList>
    <comment ref="O8" authorId="0">
      <text>
        <r>
          <rPr>
            <sz val="8"/>
            <rFont val="Tahoma"/>
            <family val="0"/>
          </rPr>
          <t xml:space="preserve">datos obtenidos del presupuesto de laborales (rpt). Actualizar todos los años. TRAMO 3
</t>
        </r>
      </text>
    </comment>
    <comment ref="N8" authorId="0">
      <text>
        <r>
          <rPr>
            <sz val="8"/>
            <rFont val="Tahoma"/>
            <family val="0"/>
          </rPr>
          <t xml:space="preserve">datos obtenidos del presupuesto de laborales (rpt). Actualizar todos los años. TRAMO 2
</t>
        </r>
      </text>
    </comment>
  </commentList>
</comments>
</file>

<file path=xl/sharedStrings.xml><?xml version="1.0" encoding="utf-8"?>
<sst xmlns="http://schemas.openxmlformats.org/spreadsheetml/2006/main" count="216" uniqueCount="104">
  <si>
    <t>TOTAL</t>
  </si>
  <si>
    <t>ANUAL</t>
  </si>
  <si>
    <t>MENSUAL</t>
  </si>
  <si>
    <t>IV CONVENIO COLECTIVO DE LAS UNIVERSIDADES ANDALUZAS</t>
  </si>
  <si>
    <t>COMPLEMENTO DE DIRECCIÓN</t>
  </si>
  <si>
    <t>GRUPO/FUNCIÓN</t>
  </si>
  <si>
    <t>T. Superior Director</t>
  </si>
  <si>
    <t>T. Superior Subdirector</t>
  </si>
  <si>
    <t>T. G. Medio Director</t>
  </si>
  <si>
    <t>T. G. Medio Subdirector</t>
  </si>
  <si>
    <t> GRUPO I</t>
  </si>
  <si>
    <t>VESTUARIO</t>
  </si>
  <si>
    <t>CATEGORÍA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</si>
  <si>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</si>
  <si>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</si>
  <si>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</si>
  <si>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</si>
  <si>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</si>
  <si>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</si>
  <si>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</si>
  <si>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</si>
  <si>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 xml:space="preserve"> T.S.Actividades Culturales</t>
  </si>
  <si>
    <t xml:space="preserve"> T.S.Prevención</t>
  </si>
  <si>
    <t>GRUPO II</t>
  </si>
  <si>
    <t>T.G.M. Apoyo a la Docencia e Investigación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</si>
  <si>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</si>
  <si>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</si>
  <si>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</si>
  <si>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</si>
  <si>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</si>
  <si>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</si>
  <si>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Servicio Técnico de Obras, Equipamiento y Manteni.</t>
  </si>
  <si>
    <t>Titulado Grado Medio Informática (a extinguir)</t>
  </si>
  <si>
    <t>Titulado Grado Medio Administración (a extinguir)</t>
  </si>
  <si>
    <t>Titulado Grado Medio</t>
  </si>
  <si>
    <t xml:space="preserve"> T.G.M. Prevención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</si>
  <si>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</si>
  <si>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</si>
  <si>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</si>
  <si>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</si>
  <si>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</si>
  <si>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>Técnico Especialista Laboratorio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</si>
  <si>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</si>
  <si>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</si>
  <si>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</si>
  <si>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</si>
  <si>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</si>
  <si>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</si>
  <si>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</si>
  <si>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</si>
  <si>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</si>
  <si>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</si>
  <si>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</si>
  <si>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</si>
  <si>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</si>
  <si>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</si>
  <si>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</si>
  <si>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</si>
  <si>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</si>
  <si>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 Técnico Especialista Prevención </t>
  </si>
  <si>
    <t xml:space="preserve"> 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</si>
  <si>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</si>
  <si>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</si>
  <si>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</si>
  <si>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</si>
  <si>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</si>
  <si>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</si>
  <si>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</si>
  <si>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</si>
  <si>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</si>
  <si>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</si>
  <si>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</si>
  <si>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</si>
  <si>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</si>
  <si>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</si>
  <si>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</si>
  <si>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</si>
  <si>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</si>
  <si>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</si>
  <si>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</si>
  <si>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 Obras, Equip. Y Manten.</t>
  </si>
  <si>
    <t>Ayudante Servicios de Limpieza</t>
  </si>
  <si>
    <t>Ayudante Servicio de Conserjería</t>
  </si>
  <si>
    <t>C. CATEGORÍA</t>
  </si>
  <si>
    <t>SALARIO BASE</t>
  </si>
  <si>
    <t>C. HOMOLOGACIÓN</t>
  </si>
  <si>
    <t>C. ANTIGÜEDAD</t>
  </si>
  <si>
    <t>Nocturnidad</t>
  </si>
  <si>
    <t>COMPLEMENTO FESTIVOS</t>
  </si>
  <si>
    <t>Sábados o domingos (sin vivienda)</t>
  </si>
  <si>
    <t>Sábados en turno de mañana (sin vivienda)</t>
  </si>
  <si>
    <t>Sábado tarde o domingo (sin vivienda)</t>
  </si>
  <si>
    <t>ANT. CONSOLIDADA</t>
  </si>
  <si>
    <t>C. CATEGORIA</t>
  </si>
  <si>
    <t>REUNION CIVEA 5/5/05</t>
  </si>
  <si>
    <t>SUBIDA 1</t>
  </si>
  <si>
    <t>SUBIDA 2</t>
  </si>
  <si>
    <t>SUBIDA 3</t>
  </si>
  <si>
    <t>RESTO</t>
  </si>
  <si>
    <t>C.P.C.M.S.</t>
  </si>
  <si>
    <t>C.P.C.M.S. *</t>
  </si>
  <si>
    <t>*   C.P.C.M.S.  Complemento de Productividad para la Calidad y Mejora de los Servicios. Complemento subordinado al cumplimiento de los objetivos de la unidad.</t>
  </si>
  <si>
    <t>EJERCICIO 2009</t>
  </si>
  <si>
    <t>SUELDO, VESTUARIO, DIRECCION, NOTURNIDAD, FECTIVOS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</si>
</sst>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0000"/>
    <numFmt numFmtId="181" formatCode="[$-C0A]dddd\ d&quot; de &quot;mmmm&quot; de &quot;yyyy"/>
    <numFmt numFmtId="182" formatCode="0.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B1">
      <selection activeCell="C5" sqref="C5"/>
    </sheetView>
  </sheetViews>
  <sheetFormatPr defaultColWidth="11.421875" defaultRowHeight="12.75"/>
  <cols>
    <col min="1" max="1" width="11.421875" style="1" hidden="1" customWidth="1"/>
    <col min="2" max="2" width="58.140625" style="1" customWidth="1"/>
    <col min="3" max="3" width="9.28125" style="1" bestFit="1" customWidth="1"/>
    <col min="4" max="4" width="10.8515625" style="1" bestFit="1" customWidth="1"/>
    <col min="5" max="5" width="9.28125" style="1" customWidth="1"/>
    <col min="6" max="6" width="12.421875" style="1" customWidth="1"/>
    <col min="7" max="7" width="9.140625" style="1" customWidth="1"/>
    <col min="8" max="8" width="12.28125" style="1" customWidth="1"/>
    <col min="9" max="9" width="8.421875" style="1" bestFit="1" customWidth="1"/>
    <col min="10" max="10" width="6.8515625" style="1" customWidth="1"/>
    <col min="11" max="11" width="8.140625" style="1" bestFit="1" customWidth="1"/>
    <col min="12" max="12" width="7.8515625" style="1" bestFit="1" customWidth="1"/>
    <col min="13" max="13" width="7.57421875" style="1" customWidth="1"/>
    <col min="14" max="14" width="8.7109375" style="1" customWidth="1"/>
    <col min="15" max="15" width="9.00390625" style="1" customWidth="1"/>
    <col min="16" max="16" width="10.8515625" style="1" bestFit="1" customWidth="1"/>
    <col min="17" max="17" width="12.28125" style="1" bestFit="1" customWidth="1"/>
    <col min="18" max="16384" width="11.421875" style="1" customWidth="1"/>
  </cols>
  <sheetData>
    <row r="1" spans="2:7" ht="15.75">
      <c r="B1" s="8" t="s">
        <v>3</v>
      </c>
      <c r="C1" s="8"/>
      <c r="D1" s="8"/>
      <c r="E1" s="3"/>
      <c r="F1" s="3"/>
      <c r="G1" s="3"/>
    </row>
    <row r="2" spans="2:7" ht="24" thickBot="1">
      <c r="B2" s="9"/>
      <c r="C2" s="9"/>
      <c r="D2" s="9"/>
      <c r="E2" s="3"/>
      <c r="F2" s="3"/>
      <c r="G2" s="3"/>
    </row>
    <row r="3" spans="5:16" ht="16.5" thickBot="1">
      <c r="E3" s="44" t="s">
        <v>102</v>
      </c>
      <c r="F3" s="45"/>
      <c r="G3" s="46"/>
      <c r="I3" s="25" t="s">
        <v>95</v>
      </c>
      <c r="J3" s="26">
        <v>1.03</v>
      </c>
      <c r="K3" s="27" t="s">
        <v>103</v>
      </c>
      <c r="L3" s="28"/>
      <c r="M3" s="28"/>
      <c r="N3" s="28"/>
      <c r="O3" s="28"/>
      <c r="P3" s="21"/>
    </row>
    <row r="4" spans="9:16" ht="12.75">
      <c r="I4" s="29" t="s">
        <v>96</v>
      </c>
      <c r="J4" s="30">
        <v>1.03</v>
      </c>
      <c r="K4" s="5" t="s">
        <v>93</v>
      </c>
      <c r="L4" s="4"/>
      <c r="M4" s="4"/>
      <c r="N4" s="4"/>
      <c r="O4" s="4"/>
      <c r="P4" s="22"/>
    </row>
    <row r="5" spans="2:16" ht="12.75">
      <c r="B5" s="2"/>
      <c r="C5" s="2"/>
      <c r="D5" s="2"/>
      <c r="E5" s="3"/>
      <c r="F5" s="3"/>
      <c r="G5" s="3"/>
      <c r="I5" s="31" t="s">
        <v>97</v>
      </c>
      <c r="J5" s="32">
        <v>1.02</v>
      </c>
      <c r="K5" s="33" t="s">
        <v>98</v>
      </c>
      <c r="L5" s="34"/>
      <c r="M5" s="34"/>
      <c r="N5" s="34"/>
      <c r="O5" s="34"/>
      <c r="P5" s="35"/>
    </row>
    <row r="6" spans="2:16" ht="12.75">
      <c r="B6" s="2"/>
      <c r="C6" s="2"/>
      <c r="D6" s="2"/>
      <c r="E6" s="3"/>
      <c r="F6" s="3"/>
      <c r="G6" s="3"/>
      <c r="I6" s="5"/>
      <c r="J6" s="5"/>
      <c r="K6" s="5"/>
      <c r="L6" s="4"/>
      <c r="M6" s="4"/>
      <c r="N6" s="4"/>
      <c r="O6" s="4"/>
      <c r="P6" s="4"/>
    </row>
    <row r="7" spans="2:10" ht="15.75">
      <c r="B7" s="16"/>
      <c r="E7" s="3"/>
      <c r="F7" s="3"/>
      <c r="G7" s="37">
        <f>102.7/102</f>
        <v>1.0068627450980392</v>
      </c>
      <c r="H7" s="20" t="s">
        <v>94</v>
      </c>
      <c r="I7" s="36"/>
      <c r="J7" s="20"/>
    </row>
    <row r="8" spans="2:16" ht="15.75">
      <c r="B8" s="17" t="s">
        <v>10</v>
      </c>
      <c r="C8" s="42" t="s">
        <v>84</v>
      </c>
      <c r="D8" s="42"/>
      <c r="E8" s="43" t="s">
        <v>83</v>
      </c>
      <c r="F8" s="43"/>
      <c r="G8" s="13" t="s">
        <v>11</v>
      </c>
      <c r="H8" s="42" t="s">
        <v>85</v>
      </c>
      <c r="I8" s="42"/>
      <c r="J8" s="42" t="s">
        <v>86</v>
      </c>
      <c r="K8" s="42"/>
      <c r="L8" s="42" t="s">
        <v>92</v>
      </c>
      <c r="M8" s="42"/>
      <c r="N8" s="12" t="s">
        <v>100</v>
      </c>
      <c r="O8" s="12" t="s">
        <v>100</v>
      </c>
      <c r="P8" s="12" t="s">
        <v>1</v>
      </c>
    </row>
    <row r="9" spans="2:16" ht="15.75">
      <c r="B9" s="17" t="s">
        <v>12</v>
      </c>
      <c r="C9" s="13" t="s">
        <v>2</v>
      </c>
      <c r="D9" s="13" t="s">
        <v>1</v>
      </c>
      <c r="E9" s="13" t="s">
        <v>2</v>
      </c>
      <c r="F9" s="13" t="s">
        <v>1</v>
      </c>
      <c r="G9" s="13" t="s">
        <v>1</v>
      </c>
      <c r="H9" s="13" t="s">
        <v>2</v>
      </c>
      <c r="I9" s="13" t="s">
        <v>1</v>
      </c>
      <c r="J9" s="13" t="s">
        <v>2</v>
      </c>
      <c r="K9" s="13" t="s">
        <v>1</v>
      </c>
      <c r="L9" s="13" t="s">
        <v>2</v>
      </c>
      <c r="M9" s="13" t="s">
        <v>1</v>
      </c>
      <c r="N9" s="13" t="s">
        <v>1</v>
      </c>
      <c r="O9" s="13" t="s">
        <v>1</v>
      </c>
      <c r="P9" s="12" t="s">
        <v>0</v>
      </c>
    </row>
    <row r="10" spans="2:16" ht="15.75">
      <c r="B10" s="17"/>
      <c r="C10" s="10"/>
      <c r="D10" s="23">
        <v>15</v>
      </c>
      <c r="E10" s="10"/>
      <c r="F10" s="23">
        <v>12</v>
      </c>
      <c r="G10" s="10"/>
      <c r="H10" s="10"/>
      <c r="I10" s="11">
        <f>F10</f>
        <v>12</v>
      </c>
      <c r="J10" s="10"/>
      <c r="K10" s="11">
        <f>D10</f>
        <v>15</v>
      </c>
      <c r="L10" s="10"/>
      <c r="M10" s="11">
        <f>D10</f>
        <v>15</v>
      </c>
      <c r="N10" s="11"/>
      <c r="O10" s="11"/>
      <c r="P10" s="6"/>
    </row>
    <row r="11" spans="1:17" ht="15.75">
      <c r="A11" s="1">
        <v>10003</v>
      </c>
      <c r="B11" s="17" t="s">
        <v>13</v>
      </c>
      <c r="C11" s="24">
        <f>ROUND(1554.71*$J$3,2)</f>
        <v>1601.35</v>
      </c>
      <c r="D11" s="7">
        <f>C11*$D$10</f>
        <v>24020.25</v>
      </c>
      <c r="E11" s="24">
        <f>ROUND(1101.07*$J$4,2)</f>
        <v>1134.1</v>
      </c>
      <c r="F11" s="7">
        <f>E11*$F$10</f>
        <v>13609.199999999999</v>
      </c>
      <c r="G11" s="24">
        <f>ROUND(244.57*$J$3,2)</f>
        <v>251.91</v>
      </c>
      <c r="H11" s="7">
        <f>ROUND($I$11/12,2)</f>
        <v>81.57</v>
      </c>
      <c r="I11" s="24">
        <f>ROUND(959.62*J5,2)</f>
        <v>978.81</v>
      </c>
      <c r="J11" s="24">
        <f>ROUND(43.63*$J$5,2)</f>
        <v>44.5</v>
      </c>
      <c r="K11" s="7">
        <f>J11*$D$10</f>
        <v>667.5</v>
      </c>
      <c r="L11" s="6"/>
      <c r="M11" s="6"/>
      <c r="N11" s="24">
        <v>1835.27</v>
      </c>
      <c r="O11" s="24">
        <f>+ROUND(3346.62*$J$5,2)</f>
        <v>3413.55</v>
      </c>
      <c r="P11" s="7">
        <f>I11+G11+F11+D11+O11</f>
        <v>42273.72</v>
      </c>
      <c r="Q11" s="3"/>
    </row>
    <row r="12" spans="1:17" ht="15.75">
      <c r="A12" s="1">
        <v>10004</v>
      </c>
      <c r="B12" s="17" t="s">
        <v>14</v>
      </c>
      <c r="C12" s="7">
        <f>$C$11</f>
        <v>1601.35</v>
      </c>
      <c r="D12" s="7">
        <f aca="true" t="shared" si="0" ref="D12:D20">C12*$D$10</f>
        <v>24020.25</v>
      </c>
      <c r="E12" s="24">
        <f>ROUND(931.55*$J$4,2)</f>
        <v>959.5</v>
      </c>
      <c r="F12" s="7">
        <f aca="true" t="shared" si="1" ref="F12:F20">E12*$F$10</f>
        <v>11514</v>
      </c>
      <c r="G12" s="7">
        <f>$G$11</f>
        <v>251.91</v>
      </c>
      <c r="H12" s="7">
        <f>$H$11</f>
        <v>81.57</v>
      </c>
      <c r="I12" s="7">
        <f>$I$11</f>
        <v>978.81</v>
      </c>
      <c r="J12" s="7">
        <f>J11</f>
        <v>44.5</v>
      </c>
      <c r="K12" s="7">
        <f aca="true" t="shared" si="2" ref="K12:K20">J12*$D$10</f>
        <v>667.5</v>
      </c>
      <c r="L12" s="6"/>
      <c r="M12" s="6"/>
      <c r="N12" s="24">
        <v>1750.99</v>
      </c>
      <c r="O12" s="24">
        <f>+ROUND(2852.94*$J$5,2)</f>
        <v>2910</v>
      </c>
      <c r="P12" s="7">
        <f aca="true" t="shared" si="3" ref="P12:P20">I12+G12+F12+D12+O12</f>
        <v>39674.97</v>
      </c>
      <c r="Q12" s="3"/>
    </row>
    <row r="13" spans="1:17" ht="15.75">
      <c r="A13" s="1">
        <v>10005</v>
      </c>
      <c r="B13" s="17" t="s">
        <v>15</v>
      </c>
      <c r="C13" s="7">
        <f aca="true" t="shared" si="4" ref="C13:C20">$C$11</f>
        <v>1601.35</v>
      </c>
      <c r="D13" s="7">
        <f t="shared" si="0"/>
        <v>24020.25</v>
      </c>
      <c r="E13" s="7">
        <f>E12</f>
        <v>959.5</v>
      </c>
      <c r="F13" s="7">
        <f t="shared" si="1"/>
        <v>11514</v>
      </c>
      <c r="G13" s="7">
        <f>$G$11</f>
        <v>251.91</v>
      </c>
      <c r="H13" s="7">
        <f aca="true" t="shared" si="5" ref="H13:H20">$H$11</f>
        <v>81.57</v>
      </c>
      <c r="I13" s="7">
        <f aca="true" t="shared" si="6" ref="I13:I20">$I$11</f>
        <v>978.81</v>
      </c>
      <c r="J13" s="7">
        <f aca="true" t="shared" si="7" ref="J13:J20">J12</f>
        <v>44.5</v>
      </c>
      <c r="K13" s="7">
        <f t="shared" si="2"/>
        <v>667.5</v>
      </c>
      <c r="L13" s="6"/>
      <c r="M13" s="6"/>
      <c r="N13" s="7">
        <f>+$N$12</f>
        <v>1750.99</v>
      </c>
      <c r="O13" s="7">
        <f aca="true" t="shared" si="8" ref="O13:O20">+$O$12</f>
        <v>2910</v>
      </c>
      <c r="P13" s="7">
        <f t="shared" si="3"/>
        <v>39674.97</v>
      </c>
      <c r="Q13" s="3"/>
    </row>
    <row r="14" spans="1:17" ht="15.75">
      <c r="A14" s="1">
        <v>10006</v>
      </c>
      <c r="B14" s="17" t="s">
        <v>16</v>
      </c>
      <c r="C14" s="7">
        <f t="shared" si="4"/>
        <v>1601.35</v>
      </c>
      <c r="D14" s="7">
        <f t="shared" si="0"/>
        <v>24020.25</v>
      </c>
      <c r="E14" s="7">
        <f aca="true" t="shared" si="9" ref="E14:E19">E13</f>
        <v>959.5</v>
      </c>
      <c r="F14" s="7">
        <f t="shared" si="1"/>
        <v>11514</v>
      </c>
      <c r="G14" s="24">
        <f>ROUND(326.11*$J$3,2)</f>
        <v>335.89</v>
      </c>
      <c r="H14" s="7">
        <f t="shared" si="5"/>
        <v>81.57</v>
      </c>
      <c r="I14" s="7">
        <f t="shared" si="6"/>
        <v>978.81</v>
      </c>
      <c r="J14" s="7">
        <f t="shared" si="7"/>
        <v>44.5</v>
      </c>
      <c r="K14" s="7">
        <f t="shared" si="2"/>
        <v>667.5</v>
      </c>
      <c r="L14" s="6"/>
      <c r="M14" s="6"/>
      <c r="N14" s="7">
        <f aca="true" t="shared" si="10" ref="N14:N20">+$N$12</f>
        <v>1750.99</v>
      </c>
      <c r="O14" s="7">
        <f t="shared" si="8"/>
        <v>2910</v>
      </c>
      <c r="P14" s="7">
        <f t="shared" si="3"/>
        <v>39758.95</v>
      </c>
      <c r="Q14" s="3"/>
    </row>
    <row r="15" spans="1:17" ht="15.75">
      <c r="A15" s="1">
        <v>10007</v>
      </c>
      <c r="B15" s="17" t="s">
        <v>17</v>
      </c>
      <c r="C15" s="7">
        <f t="shared" si="4"/>
        <v>1601.35</v>
      </c>
      <c r="D15" s="7">
        <f t="shared" si="0"/>
        <v>24020.25</v>
      </c>
      <c r="E15" s="7">
        <f t="shared" si="9"/>
        <v>959.5</v>
      </c>
      <c r="F15" s="7">
        <f t="shared" si="1"/>
        <v>11514</v>
      </c>
      <c r="G15" s="7">
        <f aca="true" t="shared" si="11" ref="G15:G20">$G$11</f>
        <v>251.91</v>
      </c>
      <c r="H15" s="7">
        <f t="shared" si="5"/>
        <v>81.57</v>
      </c>
      <c r="I15" s="7">
        <f t="shared" si="6"/>
        <v>978.81</v>
      </c>
      <c r="J15" s="7">
        <f t="shared" si="7"/>
        <v>44.5</v>
      </c>
      <c r="K15" s="7">
        <f t="shared" si="2"/>
        <v>667.5</v>
      </c>
      <c r="L15" s="6"/>
      <c r="M15" s="6"/>
      <c r="N15" s="7">
        <f t="shared" si="10"/>
        <v>1750.99</v>
      </c>
      <c r="O15" s="7">
        <f t="shared" si="8"/>
        <v>2910</v>
      </c>
      <c r="P15" s="7">
        <f t="shared" si="3"/>
        <v>39674.97</v>
      </c>
      <c r="Q15" s="3"/>
    </row>
    <row r="16" spans="1:17" ht="15.75">
      <c r="A16" s="1">
        <v>10008</v>
      </c>
      <c r="B16" s="17" t="s">
        <v>18</v>
      </c>
      <c r="C16" s="7">
        <f t="shared" si="4"/>
        <v>1601.35</v>
      </c>
      <c r="D16" s="7">
        <f t="shared" si="0"/>
        <v>24020.25</v>
      </c>
      <c r="E16" s="7">
        <f t="shared" si="9"/>
        <v>959.5</v>
      </c>
      <c r="F16" s="7">
        <f t="shared" si="1"/>
        <v>11514</v>
      </c>
      <c r="G16" s="7">
        <f t="shared" si="11"/>
        <v>251.91</v>
      </c>
      <c r="H16" s="7">
        <f t="shared" si="5"/>
        <v>81.57</v>
      </c>
      <c r="I16" s="7">
        <f t="shared" si="6"/>
        <v>978.81</v>
      </c>
      <c r="J16" s="7">
        <f t="shared" si="7"/>
        <v>44.5</v>
      </c>
      <c r="K16" s="7">
        <f t="shared" si="2"/>
        <v>667.5</v>
      </c>
      <c r="L16" s="6"/>
      <c r="M16" s="6"/>
      <c r="N16" s="7">
        <f t="shared" si="10"/>
        <v>1750.99</v>
      </c>
      <c r="O16" s="7">
        <f t="shared" si="8"/>
        <v>2910</v>
      </c>
      <c r="P16" s="7">
        <f t="shared" si="3"/>
        <v>39674.97</v>
      </c>
      <c r="Q16" s="3"/>
    </row>
    <row r="17" spans="1:17" ht="15.75">
      <c r="A17" s="1">
        <v>10009</v>
      </c>
      <c r="B17" s="17" t="s">
        <v>19</v>
      </c>
      <c r="C17" s="7">
        <f t="shared" si="4"/>
        <v>1601.35</v>
      </c>
      <c r="D17" s="7">
        <f t="shared" si="0"/>
        <v>24020.25</v>
      </c>
      <c r="E17" s="7">
        <f t="shared" si="9"/>
        <v>959.5</v>
      </c>
      <c r="F17" s="7">
        <f t="shared" si="1"/>
        <v>11514</v>
      </c>
      <c r="G17" s="7">
        <f t="shared" si="11"/>
        <v>251.91</v>
      </c>
      <c r="H17" s="7">
        <f t="shared" si="5"/>
        <v>81.57</v>
      </c>
      <c r="I17" s="7">
        <f t="shared" si="6"/>
        <v>978.81</v>
      </c>
      <c r="J17" s="7">
        <f t="shared" si="7"/>
        <v>44.5</v>
      </c>
      <c r="K17" s="7">
        <f t="shared" si="2"/>
        <v>667.5</v>
      </c>
      <c r="L17" s="6"/>
      <c r="M17" s="6"/>
      <c r="N17" s="7">
        <f t="shared" si="10"/>
        <v>1750.99</v>
      </c>
      <c r="O17" s="7">
        <f t="shared" si="8"/>
        <v>2910</v>
      </c>
      <c r="P17" s="7">
        <f t="shared" si="3"/>
        <v>39674.97</v>
      </c>
      <c r="Q17" s="3"/>
    </row>
    <row r="18" spans="1:17" ht="15.75">
      <c r="A18" s="1">
        <v>10012</v>
      </c>
      <c r="B18" s="17" t="s">
        <v>20</v>
      </c>
      <c r="C18" s="7">
        <f t="shared" si="4"/>
        <v>1601.35</v>
      </c>
      <c r="D18" s="7">
        <f t="shared" si="0"/>
        <v>24020.25</v>
      </c>
      <c r="E18" s="7">
        <f t="shared" si="9"/>
        <v>959.5</v>
      </c>
      <c r="F18" s="7">
        <f t="shared" si="1"/>
        <v>11514</v>
      </c>
      <c r="G18" s="7">
        <f t="shared" si="11"/>
        <v>251.91</v>
      </c>
      <c r="H18" s="7">
        <f t="shared" si="5"/>
        <v>81.57</v>
      </c>
      <c r="I18" s="7">
        <f t="shared" si="6"/>
        <v>978.81</v>
      </c>
      <c r="J18" s="7">
        <f t="shared" si="7"/>
        <v>44.5</v>
      </c>
      <c r="K18" s="7">
        <f t="shared" si="2"/>
        <v>667.5</v>
      </c>
      <c r="L18" s="6"/>
      <c r="M18" s="6"/>
      <c r="N18" s="7">
        <f t="shared" si="10"/>
        <v>1750.99</v>
      </c>
      <c r="O18" s="7">
        <f t="shared" si="8"/>
        <v>2910</v>
      </c>
      <c r="P18" s="7">
        <f t="shared" si="3"/>
        <v>39674.97</v>
      </c>
      <c r="Q18" s="3"/>
    </row>
    <row r="19" spans="1:17" ht="15.75">
      <c r="A19" s="1">
        <v>10011</v>
      </c>
      <c r="B19" s="17" t="s">
        <v>21</v>
      </c>
      <c r="C19" s="7">
        <f t="shared" si="4"/>
        <v>1601.35</v>
      </c>
      <c r="D19" s="7">
        <f t="shared" si="0"/>
        <v>24020.25</v>
      </c>
      <c r="E19" s="7">
        <f t="shared" si="9"/>
        <v>959.5</v>
      </c>
      <c r="F19" s="7">
        <f t="shared" si="1"/>
        <v>11514</v>
      </c>
      <c r="G19" s="7">
        <f t="shared" si="11"/>
        <v>251.91</v>
      </c>
      <c r="H19" s="7">
        <f t="shared" si="5"/>
        <v>81.57</v>
      </c>
      <c r="I19" s="7">
        <f t="shared" si="6"/>
        <v>978.81</v>
      </c>
      <c r="J19" s="7">
        <f t="shared" si="7"/>
        <v>44.5</v>
      </c>
      <c r="K19" s="7">
        <f t="shared" si="2"/>
        <v>667.5</v>
      </c>
      <c r="L19" s="6"/>
      <c r="M19" s="6"/>
      <c r="N19" s="7">
        <f t="shared" si="10"/>
        <v>1750.99</v>
      </c>
      <c r="O19" s="7">
        <f t="shared" si="8"/>
        <v>2910</v>
      </c>
      <c r="P19" s="7">
        <f t="shared" si="3"/>
        <v>39674.97</v>
      </c>
      <c r="Q19" s="3"/>
    </row>
    <row r="20" spans="1:17" ht="15.75">
      <c r="A20" s="1">
        <v>10010</v>
      </c>
      <c r="B20" s="17" t="s">
        <v>22</v>
      </c>
      <c r="C20" s="7">
        <f t="shared" si="4"/>
        <v>1601.35</v>
      </c>
      <c r="D20" s="7">
        <f t="shared" si="0"/>
        <v>24020.25</v>
      </c>
      <c r="E20" s="7">
        <f>E11</f>
        <v>1134.1</v>
      </c>
      <c r="F20" s="7">
        <f t="shared" si="1"/>
        <v>13609.199999999999</v>
      </c>
      <c r="G20" s="7">
        <f t="shared" si="11"/>
        <v>251.91</v>
      </c>
      <c r="H20" s="7">
        <f t="shared" si="5"/>
        <v>81.57</v>
      </c>
      <c r="I20" s="7">
        <f t="shared" si="6"/>
        <v>978.81</v>
      </c>
      <c r="J20" s="7">
        <f t="shared" si="7"/>
        <v>44.5</v>
      </c>
      <c r="K20" s="7">
        <f t="shared" si="2"/>
        <v>667.5</v>
      </c>
      <c r="L20" s="6"/>
      <c r="M20" s="6"/>
      <c r="N20" s="7">
        <f t="shared" si="10"/>
        <v>1750.99</v>
      </c>
      <c r="O20" s="7">
        <f t="shared" si="8"/>
        <v>2910</v>
      </c>
      <c r="P20" s="7">
        <f t="shared" si="3"/>
        <v>41770.17</v>
      </c>
      <c r="Q20" s="3"/>
    </row>
    <row r="21" spans="2:17" ht="15.75">
      <c r="B21" s="16"/>
      <c r="E21" s="3"/>
      <c r="F21" s="3"/>
      <c r="G21" s="3"/>
      <c r="Q21" s="3"/>
    </row>
    <row r="22" spans="2:17" ht="15.75">
      <c r="B22" s="17" t="s">
        <v>23</v>
      </c>
      <c r="C22" s="42" t="s">
        <v>84</v>
      </c>
      <c r="D22" s="42"/>
      <c r="E22" s="43" t="s">
        <v>83</v>
      </c>
      <c r="F22" s="43"/>
      <c r="G22" s="13" t="s">
        <v>11</v>
      </c>
      <c r="H22" s="42" t="s">
        <v>85</v>
      </c>
      <c r="I22" s="42"/>
      <c r="J22" s="42" t="s">
        <v>86</v>
      </c>
      <c r="K22" s="42"/>
      <c r="L22" s="42" t="s">
        <v>92</v>
      </c>
      <c r="M22" s="42"/>
      <c r="N22" s="12" t="s">
        <v>99</v>
      </c>
      <c r="O22" s="12" t="s">
        <v>99</v>
      </c>
      <c r="P22" s="12" t="s">
        <v>1</v>
      </c>
      <c r="Q22" s="3"/>
    </row>
    <row r="23" spans="2:17" ht="15.75">
      <c r="B23" s="17" t="s">
        <v>12</v>
      </c>
      <c r="C23" s="13" t="s">
        <v>2</v>
      </c>
      <c r="D23" s="13" t="s">
        <v>1</v>
      </c>
      <c r="E23" s="13" t="s">
        <v>2</v>
      </c>
      <c r="F23" s="13" t="s">
        <v>1</v>
      </c>
      <c r="G23" s="13" t="s">
        <v>1</v>
      </c>
      <c r="H23" s="13" t="s">
        <v>2</v>
      </c>
      <c r="I23" s="13" t="s">
        <v>1</v>
      </c>
      <c r="J23" s="13" t="s">
        <v>2</v>
      </c>
      <c r="K23" s="13" t="s">
        <v>1</v>
      </c>
      <c r="L23" s="13" t="s">
        <v>2</v>
      </c>
      <c r="M23" s="13" t="s">
        <v>1</v>
      </c>
      <c r="N23" s="13" t="s">
        <v>1</v>
      </c>
      <c r="O23" s="13" t="s">
        <v>1</v>
      </c>
      <c r="P23" s="12" t="s">
        <v>0</v>
      </c>
      <c r="Q23" s="3"/>
    </row>
    <row r="24" spans="2:17" ht="15.75">
      <c r="B24" s="17"/>
      <c r="C24" s="10"/>
      <c r="D24" s="11">
        <v>15</v>
      </c>
      <c r="E24" s="10"/>
      <c r="F24" s="11">
        <v>12</v>
      </c>
      <c r="G24" s="10"/>
      <c r="H24" s="10"/>
      <c r="I24" s="11">
        <f>F24</f>
        <v>12</v>
      </c>
      <c r="J24" s="10"/>
      <c r="K24" s="11">
        <f>D24</f>
        <v>15</v>
      </c>
      <c r="L24" s="10"/>
      <c r="M24" s="11">
        <f>D24</f>
        <v>15</v>
      </c>
      <c r="N24" s="11"/>
      <c r="O24" s="11"/>
      <c r="P24" s="6"/>
      <c r="Q24" s="3"/>
    </row>
    <row r="25" spans="1:17" ht="15.75">
      <c r="A25" s="1">
        <v>20003</v>
      </c>
      <c r="B25" s="17" t="s">
        <v>24</v>
      </c>
      <c r="C25" s="24">
        <f>ROUND(1309.87*$J$3,2)</f>
        <v>1349.17</v>
      </c>
      <c r="D25" s="7">
        <f>C25*$D$10</f>
        <v>20237.550000000003</v>
      </c>
      <c r="E25" s="24">
        <f>ROUND(893*J3,2)</f>
        <v>919.79</v>
      </c>
      <c r="F25" s="7">
        <f aca="true" t="shared" si="12" ref="F25:F36">E25*$F$10</f>
        <v>11037.48</v>
      </c>
      <c r="G25" s="7">
        <f>$G$14</f>
        <v>335.89</v>
      </c>
      <c r="H25" s="7">
        <f aca="true" t="shared" si="13" ref="H25:H36">$H$11</f>
        <v>81.57</v>
      </c>
      <c r="I25" s="7">
        <f aca="true" t="shared" si="14" ref="I25:I36">$I$11</f>
        <v>978.81</v>
      </c>
      <c r="J25" s="24">
        <f>ROUND(34.9*$J$5,2)</f>
        <v>35.6</v>
      </c>
      <c r="K25" s="7">
        <f aca="true" t="shared" si="15" ref="K25:K36">J25*$D$10</f>
        <v>534</v>
      </c>
      <c r="L25" s="6"/>
      <c r="M25" s="6"/>
      <c r="N25" s="24">
        <v>1695.85</v>
      </c>
      <c r="O25" s="24">
        <f>+ROUND(2528.58*$J$5,2)</f>
        <v>2579.15</v>
      </c>
      <c r="P25" s="7">
        <f>I25+G25+F25+D25+O25</f>
        <v>35168.880000000005</v>
      </c>
      <c r="Q25" s="3"/>
    </row>
    <row r="26" spans="1:17" ht="15.75">
      <c r="A26" s="1">
        <v>20004</v>
      </c>
      <c r="B26" s="17" t="s">
        <v>25</v>
      </c>
      <c r="C26" s="7">
        <f>C25</f>
        <v>1349.17</v>
      </c>
      <c r="D26" s="7">
        <f aca="true" t="shared" si="16" ref="D26:D36">C26*$D$10</f>
        <v>20237.550000000003</v>
      </c>
      <c r="E26" s="24">
        <f>ROUND(742.08*$J$3,2)</f>
        <v>764.34</v>
      </c>
      <c r="F26" s="7">
        <f t="shared" si="12"/>
        <v>9172.08</v>
      </c>
      <c r="G26" s="7">
        <f>$G$14</f>
        <v>335.89</v>
      </c>
      <c r="H26" s="7">
        <f t="shared" si="13"/>
        <v>81.57</v>
      </c>
      <c r="I26" s="7">
        <f t="shared" si="14"/>
        <v>978.81</v>
      </c>
      <c r="J26" s="7">
        <f>J25</f>
        <v>35.6</v>
      </c>
      <c r="K26" s="7">
        <f t="shared" si="15"/>
        <v>534</v>
      </c>
      <c r="L26" s="6"/>
      <c r="M26" s="6"/>
      <c r="N26" s="7">
        <f>+$N$25</f>
        <v>1695.85</v>
      </c>
      <c r="O26" s="7">
        <f>+$O$25</f>
        <v>2579.15</v>
      </c>
      <c r="P26" s="7">
        <f aca="true" t="shared" si="17" ref="P26:P36">I26+G26+F26+D26+O26</f>
        <v>33303.48</v>
      </c>
      <c r="Q26" s="3"/>
    </row>
    <row r="27" spans="1:17" ht="15.75">
      <c r="A27" s="1">
        <v>20006</v>
      </c>
      <c r="B27" s="17" t="s">
        <v>26</v>
      </c>
      <c r="C27" s="7">
        <f>C26</f>
        <v>1349.17</v>
      </c>
      <c r="D27" s="7">
        <f>C27*$D$10</f>
        <v>20237.550000000003</v>
      </c>
      <c r="E27" s="7">
        <f>E26</f>
        <v>764.34</v>
      </c>
      <c r="F27" s="7">
        <f t="shared" si="12"/>
        <v>9172.08</v>
      </c>
      <c r="G27" s="7">
        <f>$G$11</f>
        <v>251.91</v>
      </c>
      <c r="H27" s="7">
        <f t="shared" si="13"/>
        <v>81.57</v>
      </c>
      <c r="I27" s="7">
        <f t="shared" si="14"/>
        <v>978.81</v>
      </c>
      <c r="J27" s="7">
        <f aca="true" t="shared" si="18" ref="J27:J36">J26</f>
        <v>35.6</v>
      </c>
      <c r="K27" s="7">
        <f t="shared" si="15"/>
        <v>534</v>
      </c>
      <c r="L27" s="6"/>
      <c r="M27" s="6"/>
      <c r="N27" s="7">
        <f aca="true" t="shared" si="19" ref="N27:N36">+$N$25</f>
        <v>1695.85</v>
      </c>
      <c r="O27" s="7">
        <f aca="true" t="shared" si="20" ref="O27:O36">+$O$25</f>
        <v>2579.15</v>
      </c>
      <c r="P27" s="7">
        <f t="shared" si="17"/>
        <v>33219.5</v>
      </c>
      <c r="Q27" s="3"/>
    </row>
    <row r="28" spans="1:17" ht="15.75">
      <c r="A28" s="1">
        <v>20011</v>
      </c>
      <c r="B28" s="17" t="s">
        <v>27</v>
      </c>
      <c r="C28" s="7">
        <f aca="true" t="shared" si="21" ref="C28:C36">C27</f>
        <v>1349.17</v>
      </c>
      <c r="D28" s="7">
        <f t="shared" si="16"/>
        <v>20237.550000000003</v>
      </c>
      <c r="E28" s="7">
        <f aca="true" t="shared" si="22" ref="E28:E35">E27</f>
        <v>764.34</v>
      </c>
      <c r="F28" s="7">
        <f t="shared" si="12"/>
        <v>9172.08</v>
      </c>
      <c r="G28" s="7">
        <f>$G$11</f>
        <v>251.91</v>
      </c>
      <c r="H28" s="7">
        <f t="shared" si="13"/>
        <v>81.57</v>
      </c>
      <c r="I28" s="7">
        <f t="shared" si="14"/>
        <v>978.81</v>
      </c>
      <c r="J28" s="7">
        <f t="shared" si="18"/>
        <v>35.6</v>
      </c>
      <c r="K28" s="7">
        <f t="shared" si="15"/>
        <v>534</v>
      </c>
      <c r="L28" s="6"/>
      <c r="M28" s="6"/>
      <c r="N28" s="7">
        <f t="shared" si="19"/>
        <v>1695.85</v>
      </c>
      <c r="O28" s="7">
        <f t="shared" si="20"/>
        <v>2579.15</v>
      </c>
      <c r="P28" s="7">
        <f t="shared" si="17"/>
        <v>33219.5</v>
      </c>
      <c r="Q28" s="3"/>
    </row>
    <row r="29" spans="1:17" ht="15.75">
      <c r="A29" s="1">
        <v>20007</v>
      </c>
      <c r="B29" s="17" t="s">
        <v>28</v>
      </c>
      <c r="C29" s="7">
        <f t="shared" si="21"/>
        <v>1349.17</v>
      </c>
      <c r="D29" s="7">
        <f t="shared" si="16"/>
        <v>20237.550000000003</v>
      </c>
      <c r="E29" s="7">
        <f t="shared" si="22"/>
        <v>764.34</v>
      </c>
      <c r="F29" s="7">
        <f t="shared" si="12"/>
        <v>9172.08</v>
      </c>
      <c r="G29" s="7">
        <f>$G$11</f>
        <v>251.91</v>
      </c>
      <c r="H29" s="7">
        <f t="shared" si="13"/>
        <v>81.57</v>
      </c>
      <c r="I29" s="7">
        <f t="shared" si="14"/>
        <v>978.81</v>
      </c>
      <c r="J29" s="7">
        <f t="shared" si="18"/>
        <v>35.6</v>
      </c>
      <c r="K29" s="7">
        <f t="shared" si="15"/>
        <v>534</v>
      </c>
      <c r="L29" s="6"/>
      <c r="M29" s="6"/>
      <c r="N29" s="7">
        <f t="shared" si="19"/>
        <v>1695.85</v>
      </c>
      <c r="O29" s="7">
        <f t="shared" si="20"/>
        <v>2579.15</v>
      </c>
      <c r="P29" s="7">
        <f t="shared" si="17"/>
        <v>33219.5</v>
      </c>
      <c r="Q29" s="3"/>
    </row>
    <row r="30" spans="1:17" ht="15.75">
      <c r="A30" s="1">
        <v>20008</v>
      </c>
      <c r="B30" s="17" t="s">
        <v>29</v>
      </c>
      <c r="C30" s="7">
        <f t="shared" si="21"/>
        <v>1349.17</v>
      </c>
      <c r="D30" s="7">
        <f t="shared" si="16"/>
        <v>20237.550000000003</v>
      </c>
      <c r="E30" s="7">
        <f t="shared" si="22"/>
        <v>764.34</v>
      </c>
      <c r="F30" s="7">
        <f t="shared" si="12"/>
        <v>9172.08</v>
      </c>
      <c r="G30" s="7">
        <f>$G$14</f>
        <v>335.89</v>
      </c>
      <c r="H30" s="7">
        <f t="shared" si="13"/>
        <v>81.57</v>
      </c>
      <c r="I30" s="7">
        <f t="shared" si="14"/>
        <v>978.81</v>
      </c>
      <c r="J30" s="7">
        <f t="shared" si="18"/>
        <v>35.6</v>
      </c>
      <c r="K30" s="7">
        <f t="shared" si="15"/>
        <v>534</v>
      </c>
      <c r="L30" s="6"/>
      <c r="M30" s="6"/>
      <c r="N30" s="7">
        <f t="shared" si="19"/>
        <v>1695.85</v>
      </c>
      <c r="O30" s="7">
        <f t="shared" si="20"/>
        <v>2579.15</v>
      </c>
      <c r="P30" s="7">
        <f t="shared" si="17"/>
        <v>33303.48</v>
      </c>
      <c r="Q30" s="3"/>
    </row>
    <row r="31" spans="1:17" ht="15.75">
      <c r="A31" s="1">
        <v>20009</v>
      </c>
      <c r="B31" s="17" t="s">
        <v>30</v>
      </c>
      <c r="C31" s="7">
        <f t="shared" si="21"/>
        <v>1349.17</v>
      </c>
      <c r="D31" s="7">
        <f t="shared" si="16"/>
        <v>20237.550000000003</v>
      </c>
      <c r="E31" s="7">
        <f t="shared" si="22"/>
        <v>764.34</v>
      </c>
      <c r="F31" s="7">
        <f t="shared" si="12"/>
        <v>9172.08</v>
      </c>
      <c r="G31" s="7">
        <f aca="true" t="shared" si="23" ref="G31:G36">$G$11</f>
        <v>251.91</v>
      </c>
      <c r="H31" s="7">
        <f t="shared" si="13"/>
        <v>81.57</v>
      </c>
      <c r="I31" s="7">
        <f t="shared" si="14"/>
        <v>978.81</v>
      </c>
      <c r="J31" s="7">
        <f t="shared" si="18"/>
        <v>35.6</v>
      </c>
      <c r="K31" s="7">
        <f t="shared" si="15"/>
        <v>534</v>
      </c>
      <c r="L31" s="6"/>
      <c r="M31" s="6"/>
      <c r="N31" s="7">
        <f t="shared" si="19"/>
        <v>1695.85</v>
      </c>
      <c r="O31" s="7">
        <f t="shared" si="20"/>
        <v>2579.15</v>
      </c>
      <c r="P31" s="7">
        <f t="shared" si="17"/>
        <v>33219.5</v>
      </c>
      <c r="Q31" s="3"/>
    </row>
    <row r="32" spans="1:17" ht="15.75">
      <c r="A32" s="1">
        <v>20010</v>
      </c>
      <c r="B32" s="17" t="s">
        <v>31</v>
      </c>
      <c r="C32" s="7">
        <f t="shared" si="21"/>
        <v>1349.17</v>
      </c>
      <c r="D32" s="7">
        <f t="shared" si="16"/>
        <v>20237.550000000003</v>
      </c>
      <c r="E32" s="7">
        <f t="shared" si="22"/>
        <v>764.34</v>
      </c>
      <c r="F32" s="7">
        <f t="shared" si="12"/>
        <v>9172.08</v>
      </c>
      <c r="G32" s="7">
        <f t="shared" si="23"/>
        <v>251.91</v>
      </c>
      <c r="H32" s="7">
        <f t="shared" si="13"/>
        <v>81.57</v>
      </c>
      <c r="I32" s="7">
        <f t="shared" si="14"/>
        <v>978.81</v>
      </c>
      <c r="J32" s="7">
        <f t="shared" si="18"/>
        <v>35.6</v>
      </c>
      <c r="K32" s="7">
        <f t="shared" si="15"/>
        <v>534</v>
      </c>
      <c r="L32" s="6"/>
      <c r="M32" s="6"/>
      <c r="N32" s="7">
        <f t="shared" si="19"/>
        <v>1695.85</v>
      </c>
      <c r="O32" s="7">
        <f t="shared" si="20"/>
        <v>2579.15</v>
      </c>
      <c r="P32" s="7">
        <f t="shared" si="17"/>
        <v>33219.5</v>
      </c>
      <c r="Q32" s="3"/>
    </row>
    <row r="33" spans="1:17" ht="15.75">
      <c r="A33" s="1">
        <v>20012</v>
      </c>
      <c r="B33" s="17" t="s">
        <v>32</v>
      </c>
      <c r="C33" s="7">
        <f t="shared" si="21"/>
        <v>1349.17</v>
      </c>
      <c r="D33" s="7">
        <f t="shared" si="16"/>
        <v>20237.550000000003</v>
      </c>
      <c r="E33" s="7">
        <f t="shared" si="22"/>
        <v>764.34</v>
      </c>
      <c r="F33" s="7">
        <f t="shared" si="12"/>
        <v>9172.08</v>
      </c>
      <c r="G33" s="7">
        <f t="shared" si="23"/>
        <v>251.91</v>
      </c>
      <c r="H33" s="7">
        <f t="shared" si="13"/>
        <v>81.57</v>
      </c>
      <c r="I33" s="7">
        <f t="shared" si="14"/>
        <v>978.81</v>
      </c>
      <c r="J33" s="7">
        <f t="shared" si="18"/>
        <v>35.6</v>
      </c>
      <c r="K33" s="7">
        <f t="shared" si="15"/>
        <v>534</v>
      </c>
      <c r="L33" s="6"/>
      <c r="M33" s="6"/>
      <c r="N33" s="7">
        <f t="shared" si="19"/>
        <v>1695.85</v>
      </c>
      <c r="O33" s="7">
        <f t="shared" si="20"/>
        <v>2579.15</v>
      </c>
      <c r="P33" s="7">
        <f t="shared" si="17"/>
        <v>33219.5</v>
      </c>
      <c r="Q33" s="3"/>
    </row>
    <row r="34" spans="1:17" ht="15.75">
      <c r="A34" s="1">
        <v>20013</v>
      </c>
      <c r="B34" s="17" t="s">
        <v>33</v>
      </c>
      <c r="C34" s="7">
        <f t="shared" si="21"/>
        <v>1349.17</v>
      </c>
      <c r="D34" s="7">
        <f t="shared" si="16"/>
        <v>20237.550000000003</v>
      </c>
      <c r="E34" s="7">
        <f t="shared" si="22"/>
        <v>764.34</v>
      </c>
      <c r="F34" s="7">
        <f t="shared" si="12"/>
        <v>9172.08</v>
      </c>
      <c r="G34" s="7">
        <f t="shared" si="23"/>
        <v>251.91</v>
      </c>
      <c r="H34" s="7">
        <f t="shared" si="13"/>
        <v>81.57</v>
      </c>
      <c r="I34" s="7">
        <f t="shared" si="14"/>
        <v>978.81</v>
      </c>
      <c r="J34" s="7">
        <f t="shared" si="18"/>
        <v>35.6</v>
      </c>
      <c r="K34" s="7">
        <f t="shared" si="15"/>
        <v>534</v>
      </c>
      <c r="L34" s="6"/>
      <c r="M34" s="6"/>
      <c r="N34" s="7">
        <f t="shared" si="19"/>
        <v>1695.85</v>
      </c>
      <c r="O34" s="7">
        <f t="shared" si="20"/>
        <v>2579.15</v>
      </c>
      <c r="P34" s="7">
        <f t="shared" si="17"/>
        <v>33219.5</v>
      </c>
      <c r="Q34" s="3"/>
    </row>
    <row r="35" spans="1:17" ht="15.75">
      <c r="A35" s="1">
        <v>20014</v>
      </c>
      <c r="B35" s="17" t="s">
        <v>34</v>
      </c>
      <c r="C35" s="7">
        <f t="shared" si="21"/>
        <v>1349.17</v>
      </c>
      <c r="D35" s="7">
        <f t="shared" si="16"/>
        <v>20237.550000000003</v>
      </c>
      <c r="E35" s="7">
        <f t="shared" si="22"/>
        <v>764.34</v>
      </c>
      <c r="F35" s="7">
        <f t="shared" si="12"/>
        <v>9172.08</v>
      </c>
      <c r="G35" s="7">
        <f t="shared" si="23"/>
        <v>251.91</v>
      </c>
      <c r="H35" s="7">
        <f t="shared" si="13"/>
        <v>81.57</v>
      </c>
      <c r="I35" s="7">
        <f t="shared" si="14"/>
        <v>978.81</v>
      </c>
      <c r="J35" s="7">
        <f t="shared" si="18"/>
        <v>35.6</v>
      </c>
      <c r="K35" s="7">
        <f t="shared" si="15"/>
        <v>534</v>
      </c>
      <c r="L35" s="6"/>
      <c r="M35" s="6"/>
      <c r="N35" s="7">
        <f t="shared" si="19"/>
        <v>1695.85</v>
      </c>
      <c r="O35" s="7">
        <f t="shared" si="20"/>
        <v>2579.15</v>
      </c>
      <c r="P35" s="7">
        <f t="shared" si="17"/>
        <v>33219.5</v>
      </c>
      <c r="Q35" s="3"/>
    </row>
    <row r="36" spans="1:17" ht="15.75">
      <c r="A36" s="1">
        <v>20005</v>
      </c>
      <c r="B36" s="17" t="s">
        <v>35</v>
      </c>
      <c r="C36" s="7">
        <f t="shared" si="21"/>
        <v>1349.17</v>
      </c>
      <c r="D36" s="7">
        <f t="shared" si="16"/>
        <v>20237.550000000003</v>
      </c>
      <c r="E36" s="7">
        <f>E25</f>
        <v>919.79</v>
      </c>
      <c r="F36" s="7">
        <f t="shared" si="12"/>
        <v>11037.48</v>
      </c>
      <c r="G36" s="7">
        <f t="shared" si="23"/>
        <v>251.91</v>
      </c>
      <c r="H36" s="7">
        <f t="shared" si="13"/>
        <v>81.57</v>
      </c>
      <c r="I36" s="7">
        <f t="shared" si="14"/>
        <v>978.81</v>
      </c>
      <c r="J36" s="7">
        <f t="shared" si="18"/>
        <v>35.6</v>
      </c>
      <c r="K36" s="7">
        <f t="shared" si="15"/>
        <v>534</v>
      </c>
      <c r="L36" s="6"/>
      <c r="M36" s="6"/>
      <c r="N36" s="7">
        <f t="shared" si="19"/>
        <v>1695.85</v>
      </c>
      <c r="O36" s="7">
        <f t="shared" si="20"/>
        <v>2579.15</v>
      </c>
      <c r="P36" s="7">
        <f t="shared" si="17"/>
        <v>35084.9</v>
      </c>
      <c r="Q36" s="3"/>
    </row>
    <row r="37" spans="2:17" ht="15.75">
      <c r="B37" s="16"/>
      <c r="E37" s="3"/>
      <c r="F37" s="3"/>
      <c r="G37" s="3"/>
      <c r="Q37" s="3"/>
    </row>
    <row r="38" spans="2:17" ht="15.75">
      <c r="B38" s="16"/>
      <c r="E38" s="3"/>
      <c r="F38" s="3"/>
      <c r="G38" s="3"/>
      <c r="Q38" s="3"/>
    </row>
    <row r="39" spans="2:17" ht="15.75">
      <c r="B39" s="17" t="s">
        <v>36</v>
      </c>
      <c r="C39" s="42" t="s">
        <v>84</v>
      </c>
      <c r="D39" s="42"/>
      <c r="E39" s="43" t="s">
        <v>83</v>
      </c>
      <c r="F39" s="43"/>
      <c r="G39" s="13" t="s">
        <v>11</v>
      </c>
      <c r="H39" s="42" t="s">
        <v>85</v>
      </c>
      <c r="I39" s="42"/>
      <c r="J39" s="42" t="s">
        <v>86</v>
      </c>
      <c r="K39" s="42"/>
      <c r="L39" s="42" t="s">
        <v>92</v>
      </c>
      <c r="M39" s="42"/>
      <c r="N39" s="12" t="s">
        <v>99</v>
      </c>
      <c r="O39" s="12" t="s">
        <v>99</v>
      </c>
      <c r="P39" s="12" t="s">
        <v>1</v>
      </c>
      <c r="Q39" s="3"/>
    </row>
    <row r="40" spans="2:17" ht="15.75">
      <c r="B40" s="17" t="s">
        <v>12</v>
      </c>
      <c r="C40" s="13" t="s">
        <v>2</v>
      </c>
      <c r="D40" s="13" t="s">
        <v>1</v>
      </c>
      <c r="E40" s="13" t="s">
        <v>2</v>
      </c>
      <c r="F40" s="13" t="s">
        <v>1</v>
      </c>
      <c r="G40" s="13" t="s">
        <v>1</v>
      </c>
      <c r="H40" s="13" t="s">
        <v>2</v>
      </c>
      <c r="I40" s="13" t="s">
        <v>1</v>
      </c>
      <c r="J40" s="13" t="s">
        <v>2</v>
      </c>
      <c r="K40" s="13" t="s">
        <v>1</v>
      </c>
      <c r="L40" s="13" t="s">
        <v>2</v>
      </c>
      <c r="M40" s="13" t="s">
        <v>1</v>
      </c>
      <c r="N40" s="13" t="s">
        <v>1</v>
      </c>
      <c r="O40" s="13" t="s">
        <v>1</v>
      </c>
      <c r="P40" s="12" t="s">
        <v>0</v>
      </c>
      <c r="Q40" s="3"/>
    </row>
    <row r="41" spans="2:17" ht="15.75">
      <c r="B41" s="17"/>
      <c r="C41" s="10"/>
      <c r="D41" s="11">
        <v>15</v>
      </c>
      <c r="E41" s="10"/>
      <c r="F41" s="11">
        <v>12</v>
      </c>
      <c r="G41" s="10"/>
      <c r="H41" s="10"/>
      <c r="I41" s="11">
        <f>F41</f>
        <v>12</v>
      </c>
      <c r="J41" s="10"/>
      <c r="K41" s="11">
        <f>D41</f>
        <v>15</v>
      </c>
      <c r="L41" s="10"/>
      <c r="M41" s="11">
        <f>D41</f>
        <v>15</v>
      </c>
      <c r="N41" s="11"/>
      <c r="O41" s="11"/>
      <c r="P41" s="6"/>
      <c r="Q41" s="3"/>
    </row>
    <row r="42" spans="1:17" ht="15.75">
      <c r="A42" s="1">
        <v>30001</v>
      </c>
      <c r="B42" s="17" t="s">
        <v>37</v>
      </c>
      <c r="C42" s="24">
        <f>ROUND(1145.84*$J$3,2)</f>
        <v>1180.22</v>
      </c>
      <c r="D42" s="7">
        <f aca="true" t="shared" si="24" ref="D42:D65">C42*$D$10</f>
        <v>17703.3</v>
      </c>
      <c r="E42" s="24">
        <f>ROUND(745.68*$J$3,2)</f>
        <v>768.05</v>
      </c>
      <c r="F42" s="7">
        <f aca="true" t="shared" si="25" ref="F42:F65">E42*$F$10</f>
        <v>9216.599999999999</v>
      </c>
      <c r="G42" s="24">
        <f>ROUND($J$3*489.16,2)</f>
        <v>503.83</v>
      </c>
      <c r="H42" s="7">
        <f aca="true" t="shared" si="26" ref="H42:H65">$H$11</f>
        <v>81.57</v>
      </c>
      <c r="I42" s="7">
        <f aca="true" t="shared" si="27" ref="I42:I65">$I$11</f>
        <v>978.81</v>
      </c>
      <c r="J42" s="24">
        <f>ROUND(26.2*$J$5,2)</f>
        <v>26.72</v>
      </c>
      <c r="K42" s="7">
        <f aca="true" t="shared" si="28" ref="K42:K65">J42*$D$10</f>
        <v>400.79999999999995</v>
      </c>
      <c r="L42" s="6"/>
      <c r="M42" s="6"/>
      <c r="N42" s="7">
        <f>+$N$25</f>
        <v>1695.85</v>
      </c>
      <c r="O42" s="7">
        <f>+$O$25</f>
        <v>2579.15</v>
      </c>
      <c r="P42" s="7">
        <f>I42+G42+F42+D42+O42</f>
        <v>30981.69</v>
      </c>
      <c r="Q42" s="3"/>
    </row>
    <row r="43" spans="1:17" ht="15.75">
      <c r="A43" s="1">
        <v>30002</v>
      </c>
      <c r="B43" s="17" t="s">
        <v>38</v>
      </c>
      <c r="C43" s="7">
        <f>$C$42</f>
        <v>1180.22</v>
      </c>
      <c r="D43" s="7">
        <f t="shared" si="24"/>
        <v>17703.3</v>
      </c>
      <c r="E43" s="24">
        <f>ROUND(629.52*$J$3,2)</f>
        <v>648.41</v>
      </c>
      <c r="F43" s="7">
        <f t="shared" si="25"/>
        <v>7780.92</v>
      </c>
      <c r="G43" s="7">
        <f>$G$42</f>
        <v>503.83</v>
      </c>
      <c r="H43" s="7">
        <f t="shared" si="26"/>
        <v>81.57</v>
      </c>
      <c r="I43" s="7">
        <f t="shared" si="27"/>
        <v>978.81</v>
      </c>
      <c r="J43" s="7">
        <f>J42</f>
        <v>26.72</v>
      </c>
      <c r="K43" s="7">
        <f t="shared" si="28"/>
        <v>400.79999999999995</v>
      </c>
      <c r="L43" s="6"/>
      <c r="M43" s="6"/>
      <c r="N43" s="7">
        <f>+$N$25</f>
        <v>1695.85</v>
      </c>
      <c r="O43" s="7">
        <f>+$O$25</f>
        <v>2579.15</v>
      </c>
      <c r="P43" s="7">
        <f aca="true" t="shared" si="29" ref="P43:P65">I43+G43+F43+D43+O43</f>
        <v>29546.010000000002</v>
      </c>
      <c r="Q43" s="3"/>
    </row>
    <row r="44" spans="1:17" ht="15.75">
      <c r="A44" s="1">
        <v>30003</v>
      </c>
      <c r="B44" s="17" t="s">
        <v>39</v>
      </c>
      <c r="C44" s="7">
        <f aca="true" t="shared" si="30" ref="C44:C64">$C$42</f>
        <v>1180.22</v>
      </c>
      <c r="D44" s="7">
        <f t="shared" si="24"/>
        <v>17703.3</v>
      </c>
      <c r="E44" s="24">
        <f>ROUND(578.64*$J$3,2)</f>
        <v>596</v>
      </c>
      <c r="F44" s="7">
        <f t="shared" si="25"/>
        <v>7152</v>
      </c>
      <c r="G44" s="7">
        <f>$G$42</f>
        <v>503.83</v>
      </c>
      <c r="H44" s="7">
        <f t="shared" si="26"/>
        <v>81.57</v>
      </c>
      <c r="I44" s="7">
        <f t="shared" si="27"/>
        <v>978.81</v>
      </c>
      <c r="J44" s="7">
        <f aca="true" t="shared" si="31" ref="J44:J65">J43</f>
        <v>26.72</v>
      </c>
      <c r="K44" s="7">
        <f t="shared" si="28"/>
        <v>400.79999999999995</v>
      </c>
      <c r="L44" s="6"/>
      <c r="M44" s="6"/>
      <c r="N44" s="24">
        <v>1638.63</v>
      </c>
      <c r="O44" s="24">
        <f>+ROUND(2091*$J$5,2)</f>
        <v>2132.82</v>
      </c>
      <c r="P44" s="7">
        <f t="shared" si="29"/>
        <v>28470.76</v>
      </c>
      <c r="Q44" s="3"/>
    </row>
    <row r="45" spans="1:17" ht="15.75">
      <c r="A45" s="1">
        <v>30004</v>
      </c>
      <c r="B45" s="17" t="s">
        <v>40</v>
      </c>
      <c r="C45" s="7">
        <f t="shared" si="30"/>
        <v>1180.22</v>
      </c>
      <c r="D45" s="7">
        <f t="shared" si="24"/>
        <v>17703.3</v>
      </c>
      <c r="E45" s="7">
        <f>E44</f>
        <v>596</v>
      </c>
      <c r="F45" s="7">
        <f t="shared" si="25"/>
        <v>7152</v>
      </c>
      <c r="G45" s="7">
        <f>$G$42</f>
        <v>503.83</v>
      </c>
      <c r="H45" s="7">
        <f t="shared" si="26"/>
        <v>81.57</v>
      </c>
      <c r="I45" s="7">
        <f t="shared" si="27"/>
        <v>978.81</v>
      </c>
      <c r="J45" s="7">
        <f t="shared" si="31"/>
        <v>26.72</v>
      </c>
      <c r="K45" s="7">
        <f t="shared" si="28"/>
        <v>400.79999999999995</v>
      </c>
      <c r="L45" s="6"/>
      <c r="M45" s="6"/>
      <c r="N45" s="7">
        <f>+$N$44</f>
        <v>1638.63</v>
      </c>
      <c r="O45" s="7">
        <f>+$O$44</f>
        <v>2132.82</v>
      </c>
      <c r="P45" s="7">
        <f t="shared" si="29"/>
        <v>28470.76</v>
      </c>
      <c r="Q45" s="3"/>
    </row>
    <row r="46" spans="1:17" ht="15.75">
      <c r="A46" s="1">
        <v>30005</v>
      </c>
      <c r="B46" s="17" t="s">
        <v>41</v>
      </c>
      <c r="C46" s="7">
        <f t="shared" si="30"/>
        <v>1180.22</v>
      </c>
      <c r="D46" s="7">
        <f t="shared" si="24"/>
        <v>17703.3</v>
      </c>
      <c r="E46" s="7">
        <f>E45</f>
        <v>596</v>
      </c>
      <c r="F46" s="7">
        <f t="shared" si="25"/>
        <v>7152</v>
      </c>
      <c r="G46" s="7">
        <f>$G$14</f>
        <v>335.89</v>
      </c>
      <c r="H46" s="7">
        <f t="shared" si="26"/>
        <v>81.57</v>
      </c>
      <c r="I46" s="7">
        <f t="shared" si="27"/>
        <v>978.81</v>
      </c>
      <c r="J46" s="7">
        <f t="shared" si="31"/>
        <v>26.72</v>
      </c>
      <c r="K46" s="7">
        <f t="shared" si="28"/>
        <v>400.79999999999995</v>
      </c>
      <c r="L46" s="6"/>
      <c r="M46" s="6"/>
      <c r="N46" s="7">
        <f aca="true" t="shared" si="32" ref="N46:N65">+$N$44</f>
        <v>1638.63</v>
      </c>
      <c r="O46" s="7">
        <f aca="true" t="shared" si="33" ref="O46:O65">+$O$44</f>
        <v>2132.82</v>
      </c>
      <c r="P46" s="7">
        <f t="shared" si="29"/>
        <v>28302.82</v>
      </c>
      <c r="Q46" s="3"/>
    </row>
    <row r="47" spans="1:17" ht="15.75">
      <c r="A47" s="1">
        <v>30006</v>
      </c>
      <c r="B47" s="17" t="s">
        <v>42</v>
      </c>
      <c r="C47" s="7">
        <f t="shared" si="30"/>
        <v>1180.22</v>
      </c>
      <c r="D47" s="7">
        <f t="shared" si="24"/>
        <v>17703.3</v>
      </c>
      <c r="E47" s="7">
        <f>E46</f>
        <v>596</v>
      </c>
      <c r="F47" s="7">
        <f t="shared" si="25"/>
        <v>7152</v>
      </c>
      <c r="G47" s="7">
        <f>$G$14</f>
        <v>335.89</v>
      </c>
      <c r="H47" s="7">
        <f t="shared" si="26"/>
        <v>81.57</v>
      </c>
      <c r="I47" s="7">
        <f t="shared" si="27"/>
        <v>978.81</v>
      </c>
      <c r="J47" s="7">
        <f t="shared" si="31"/>
        <v>26.72</v>
      </c>
      <c r="K47" s="7">
        <f t="shared" si="28"/>
        <v>400.79999999999995</v>
      </c>
      <c r="L47" s="6"/>
      <c r="M47" s="6"/>
      <c r="N47" s="7">
        <f t="shared" si="32"/>
        <v>1638.63</v>
      </c>
      <c r="O47" s="7">
        <f t="shared" si="33"/>
        <v>2132.82</v>
      </c>
      <c r="P47" s="7">
        <f t="shared" si="29"/>
        <v>28302.82</v>
      </c>
      <c r="Q47" s="3"/>
    </row>
    <row r="48" spans="1:17" ht="15.75">
      <c r="A48" s="1">
        <v>30007</v>
      </c>
      <c r="B48" s="17" t="s">
        <v>43</v>
      </c>
      <c r="C48" s="7">
        <f t="shared" si="30"/>
        <v>1180.22</v>
      </c>
      <c r="D48" s="7">
        <f t="shared" si="24"/>
        <v>17703.3</v>
      </c>
      <c r="E48" s="24">
        <f>ROUND(462.51*$J$3,2)</f>
        <v>476.39</v>
      </c>
      <c r="F48" s="7">
        <f t="shared" si="25"/>
        <v>5716.68</v>
      </c>
      <c r="G48" s="7">
        <f>$G$14</f>
        <v>335.89</v>
      </c>
      <c r="H48" s="7">
        <f t="shared" si="26"/>
        <v>81.57</v>
      </c>
      <c r="I48" s="7">
        <f t="shared" si="27"/>
        <v>978.81</v>
      </c>
      <c r="J48" s="7">
        <f t="shared" si="31"/>
        <v>26.72</v>
      </c>
      <c r="K48" s="7">
        <f t="shared" si="28"/>
        <v>400.79999999999995</v>
      </c>
      <c r="L48" s="6"/>
      <c r="M48" s="6"/>
      <c r="N48" s="7">
        <f t="shared" si="32"/>
        <v>1638.63</v>
      </c>
      <c r="O48" s="7">
        <f t="shared" si="33"/>
        <v>2132.82</v>
      </c>
      <c r="P48" s="7">
        <f t="shared" si="29"/>
        <v>26867.5</v>
      </c>
      <c r="Q48" s="3"/>
    </row>
    <row r="49" spans="1:17" ht="15.75">
      <c r="A49" s="1">
        <v>30008</v>
      </c>
      <c r="B49" s="17" t="s">
        <v>44</v>
      </c>
      <c r="C49" s="7">
        <f t="shared" si="30"/>
        <v>1180.22</v>
      </c>
      <c r="D49" s="7">
        <f t="shared" si="24"/>
        <v>17703.3</v>
      </c>
      <c r="E49" s="7">
        <f>E48</f>
        <v>476.39</v>
      </c>
      <c r="F49" s="7">
        <f t="shared" si="25"/>
        <v>5716.68</v>
      </c>
      <c r="G49" s="7">
        <f>$G$42</f>
        <v>503.83</v>
      </c>
      <c r="H49" s="7">
        <f t="shared" si="26"/>
        <v>81.57</v>
      </c>
      <c r="I49" s="7">
        <f t="shared" si="27"/>
        <v>978.81</v>
      </c>
      <c r="J49" s="7">
        <f t="shared" si="31"/>
        <v>26.72</v>
      </c>
      <c r="K49" s="7">
        <f t="shared" si="28"/>
        <v>400.79999999999995</v>
      </c>
      <c r="L49" s="6"/>
      <c r="M49" s="6"/>
      <c r="N49" s="7">
        <f t="shared" si="32"/>
        <v>1638.63</v>
      </c>
      <c r="O49" s="7">
        <f t="shared" si="33"/>
        <v>2132.82</v>
      </c>
      <c r="P49" s="7">
        <f t="shared" si="29"/>
        <v>27035.44</v>
      </c>
      <c r="Q49" s="3"/>
    </row>
    <row r="50" spans="1:17" ht="15.75">
      <c r="A50" s="1">
        <v>30009</v>
      </c>
      <c r="B50" s="17" t="s">
        <v>45</v>
      </c>
      <c r="C50" s="7">
        <f t="shared" si="30"/>
        <v>1180.22</v>
      </c>
      <c r="D50" s="7">
        <f t="shared" si="24"/>
        <v>17703.3</v>
      </c>
      <c r="E50" s="7">
        <f aca="true" t="shared" si="34" ref="E50:E62">E49</f>
        <v>476.39</v>
      </c>
      <c r="F50" s="7">
        <f t="shared" si="25"/>
        <v>5716.68</v>
      </c>
      <c r="G50" s="7">
        <f>$G$42</f>
        <v>503.83</v>
      </c>
      <c r="H50" s="7">
        <f t="shared" si="26"/>
        <v>81.57</v>
      </c>
      <c r="I50" s="7">
        <f t="shared" si="27"/>
        <v>978.81</v>
      </c>
      <c r="J50" s="7">
        <f t="shared" si="31"/>
        <v>26.72</v>
      </c>
      <c r="K50" s="7">
        <f t="shared" si="28"/>
        <v>400.79999999999995</v>
      </c>
      <c r="L50" s="6"/>
      <c r="M50" s="6"/>
      <c r="N50" s="7">
        <f t="shared" si="32"/>
        <v>1638.63</v>
      </c>
      <c r="O50" s="7">
        <f t="shared" si="33"/>
        <v>2132.82</v>
      </c>
      <c r="P50" s="7">
        <f t="shared" si="29"/>
        <v>27035.44</v>
      </c>
      <c r="Q50" s="3"/>
    </row>
    <row r="51" spans="1:17" ht="15.75">
      <c r="A51" s="1">
        <v>30010</v>
      </c>
      <c r="B51" s="17" t="s">
        <v>46</v>
      </c>
      <c r="C51" s="7">
        <f t="shared" si="30"/>
        <v>1180.22</v>
      </c>
      <c r="D51" s="7">
        <f t="shared" si="24"/>
        <v>17703.3</v>
      </c>
      <c r="E51" s="7">
        <f t="shared" si="34"/>
        <v>476.39</v>
      </c>
      <c r="F51" s="7">
        <f t="shared" si="25"/>
        <v>5716.68</v>
      </c>
      <c r="G51" s="7">
        <f>$G$14</f>
        <v>335.89</v>
      </c>
      <c r="H51" s="7">
        <f t="shared" si="26"/>
        <v>81.57</v>
      </c>
      <c r="I51" s="7">
        <f t="shared" si="27"/>
        <v>978.81</v>
      </c>
      <c r="J51" s="7">
        <f t="shared" si="31"/>
        <v>26.72</v>
      </c>
      <c r="K51" s="7">
        <f t="shared" si="28"/>
        <v>400.79999999999995</v>
      </c>
      <c r="L51" s="6"/>
      <c r="M51" s="6"/>
      <c r="N51" s="7">
        <f t="shared" si="32"/>
        <v>1638.63</v>
      </c>
      <c r="O51" s="7">
        <f t="shared" si="33"/>
        <v>2132.82</v>
      </c>
      <c r="P51" s="7">
        <f t="shared" si="29"/>
        <v>26867.5</v>
      </c>
      <c r="Q51" s="3"/>
    </row>
    <row r="52" spans="1:17" ht="15.75">
      <c r="A52" s="1">
        <v>30011</v>
      </c>
      <c r="B52" s="17" t="s">
        <v>47</v>
      </c>
      <c r="C52" s="7">
        <f t="shared" si="30"/>
        <v>1180.22</v>
      </c>
      <c r="D52" s="7">
        <f t="shared" si="24"/>
        <v>17703.3</v>
      </c>
      <c r="E52" s="7">
        <f t="shared" si="34"/>
        <v>476.39</v>
      </c>
      <c r="F52" s="7">
        <f t="shared" si="25"/>
        <v>5716.68</v>
      </c>
      <c r="G52" s="7">
        <f>$G$14</f>
        <v>335.89</v>
      </c>
      <c r="H52" s="7">
        <f t="shared" si="26"/>
        <v>81.57</v>
      </c>
      <c r="I52" s="7">
        <f t="shared" si="27"/>
        <v>978.81</v>
      </c>
      <c r="J52" s="7">
        <f t="shared" si="31"/>
        <v>26.72</v>
      </c>
      <c r="K52" s="7">
        <f t="shared" si="28"/>
        <v>400.79999999999995</v>
      </c>
      <c r="L52" s="6"/>
      <c r="M52" s="6"/>
      <c r="N52" s="7">
        <f t="shared" si="32"/>
        <v>1638.63</v>
      </c>
      <c r="O52" s="7">
        <f t="shared" si="33"/>
        <v>2132.82</v>
      </c>
      <c r="P52" s="7">
        <f t="shared" si="29"/>
        <v>26867.5</v>
      </c>
      <c r="Q52" s="3"/>
    </row>
    <row r="53" spans="1:17" ht="15.75">
      <c r="A53" s="1">
        <v>30012</v>
      </c>
      <c r="B53" s="17" t="s">
        <v>48</v>
      </c>
      <c r="C53" s="7">
        <f t="shared" si="30"/>
        <v>1180.22</v>
      </c>
      <c r="D53" s="7">
        <f t="shared" si="24"/>
        <v>17703.3</v>
      </c>
      <c r="E53" s="7">
        <f t="shared" si="34"/>
        <v>476.39</v>
      </c>
      <c r="F53" s="7">
        <f t="shared" si="25"/>
        <v>5716.68</v>
      </c>
      <c r="G53" s="7">
        <f>$G$11</f>
        <v>251.91</v>
      </c>
      <c r="H53" s="7">
        <f t="shared" si="26"/>
        <v>81.57</v>
      </c>
      <c r="I53" s="7">
        <f t="shared" si="27"/>
        <v>978.81</v>
      </c>
      <c r="J53" s="7">
        <f t="shared" si="31"/>
        <v>26.72</v>
      </c>
      <c r="K53" s="7">
        <f t="shared" si="28"/>
        <v>400.79999999999995</v>
      </c>
      <c r="L53" s="6"/>
      <c r="M53" s="6"/>
      <c r="N53" s="7">
        <f t="shared" si="32"/>
        <v>1638.63</v>
      </c>
      <c r="O53" s="7">
        <f t="shared" si="33"/>
        <v>2132.82</v>
      </c>
      <c r="P53" s="7">
        <f t="shared" si="29"/>
        <v>26783.52</v>
      </c>
      <c r="Q53" s="3"/>
    </row>
    <row r="54" spans="1:17" ht="15.75">
      <c r="A54" s="1">
        <v>30013</v>
      </c>
      <c r="B54" s="17" t="s">
        <v>49</v>
      </c>
      <c r="C54" s="7">
        <f t="shared" si="30"/>
        <v>1180.22</v>
      </c>
      <c r="D54" s="7">
        <f t="shared" si="24"/>
        <v>17703.3</v>
      </c>
      <c r="E54" s="7">
        <f t="shared" si="34"/>
        <v>476.39</v>
      </c>
      <c r="F54" s="7">
        <f t="shared" si="25"/>
        <v>5716.68</v>
      </c>
      <c r="G54" s="7">
        <f>$G$11</f>
        <v>251.91</v>
      </c>
      <c r="H54" s="7">
        <f t="shared" si="26"/>
        <v>81.57</v>
      </c>
      <c r="I54" s="7">
        <f t="shared" si="27"/>
        <v>978.81</v>
      </c>
      <c r="J54" s="7">
        <f t="shared" si="31"/>
        <v>26.72</v>
      </c>
      <c r="K54" s="7">
        <f t="shared" si="28"/>
        <v>400.79999999999995</v>
      </c>
      <c r="L54" s="6"/>
      <c r="M54" s="6"/>
      <c r="N54" s="7">
        <f t="shared" si="32"/>
        <v>1638.63</v>
      </c>
      <c r="O54" s="7">
        <f t="shared" si="33"/>
        <v>2132.82</v>
      </c>
      <c r="P54" s="7">
        <f t="shared" si="29"/>
        <v>26783.52</v>
      </c>
      <c r="Q54" s="3"/>
    </row>
    <row r="55" spans="1:17" ht="15.75">
      <c r="A55" s="1">
        <v>30014</v>
      </c>
      <c r="B55" s="17" t="s">
        <v>50</v>
      </c>
      <c r="C55" s="7">
        <f t="shared" si="30"/>
        <v>1180.22</v>
      </c>
      <c r="D55" s="7">
        <f t="shared" si="24"/>
        <v>17703.3</v>
      </c>
      <c r="E55" s="7">
        <f t="shared" si="34"/>
        <v>476.39</v>
      </c>
      <c r="F55" s="7">
        <f t="shared" si="25"/>
        <v>5716.68</v>
      </c>
      <c r="G55" s="7">
        <f>$G$11</f>
        <v>251.91</v>
      </c>
      <c r="H55" s="7">
        <f t="shared" si="26"/>
        <v>81.57</v>
      </c>
      <c r="I55" s="7">
        <f t="shared" si="27"/>
        <v>978.81</v>
      </c>
      <c r="J55" s="7">
        <f t="shared" si="31"/>
        <v>26.72</v>
      </c>
      <c r="K55" s="7">
        <f t="shared" si="28"/>
        <v>400.79999999999995</v>
      </c>
      <c r="L55" s="6"/>
      <c r="M55" s="6"/>
      <c r="N55" s="7">
        <f t="shared" si="32"/>
        <v>1638.63</v>
      </c>
      <c r="O55" s="7">
        <f t="shared" si="33"/>
        <v>2132.82</v>
      </c>
      <c r="P55" s="7">
        <f t="shared" si="29"/>
        <v>26783.52</v>
      </c>
      <c r="Q55" s="3"/>
    </row>
    <row r="56" spans="1:17" ht="15.75">
      <c r="A56" s="1">
        <v>30015</v>
      </c>
      <c r="B56" s="17" t="s">
        <v>51</v>
      </c>
      <c r="C56" s="7">
        <f t="shared" si="30"/>
        <v>1180.22</v>
      </c>
      <c r="D56" s="7">
        <f t="shared" si="24"/>
        <v>17703.3</v>
      </c>
      <c r="E56" s="7">
        <f t="shared" si="34"/>
        <v>476.39</v>
      </c>
      <c r="F56" s="7">
        <f t="shared" si="25"/>
        <v>5716.68</v>
      </c>
      <c r="G56" s="7">
        <f>$G$14</f>
        <v>335.89</v>
      </c>
      <c r="H56" s="7">
        <f t="shared" si="26"/>
        <v>81.57</v>
      </c>
      <c r="I56" s="7">
        <f t="shared" si="27"/>
        <v>978.81</v>
      </c>
      <c r="J56" s="7">
        <f t="shared" si="31"/>
        <v>26.72</v>
      </c>
      <c r="K56" s="7">
        <f t="shared" si="28"/>
        <v>400.79999999999995</v>
      </c>
      <c r="L56" s="6"/>
      <c r="M56" s="6"/>
      <c r="N56" s="7">
        <f t="shared" si="32"/>
        <v>1638.63</v>
      </c>
      <c r="O56" s="7">
        <f t="shared" si="33"/>
        <v>2132.82</v>
      </c>
      <c r="P56" s="7">
        <f t="shared" si="29"/>
        <v>26867.5</v>
      </c>
      <c r="Q56" s="3"/>
    </row>
    <row r="57" spans="1:17" ht="15.75">
      <c r="A57" s="1">
        <v>30016</v>
      </c>
      <c r="B57" s="17" t="s">
        <v>52</v>
      </c>
      <c r="C57" s="7">
        <f t="shared" si="30"/>
        <v>1180.22</v>
      </c>
      <c r="D57" s="7">
        <f t="shared" si="24"/>
        <v>17703.3</v>
      </c>
      <c r="E57" s="7">
        <f t="shared" si="34"/>
        <v>476.39</v>
      </c>
      <c r="F57" s="7">
        <f t="shared" si="25"/>
        <v>5716.68</v>
      </c>
      <c r="G57" s="7">
        <f>$G$11</f>
        <v>251.91</v>
      </c>
      <c r="H57" s="7">
        <f t="shared" si="26"/>
        <v>81.57</v>
      </c>
      <c r="I57" s="7">
        <f t="shared" si="27"/>
        <v>978.81</v>
      </c>
      <c r="J57" s="7">
        <f t="shared" si="31"/>
        <v>26.72</v>
      </c>
      <c r="K57" s="7">
        <f t="shared" si="28"/>
        <v>400.79999999999995</v>
      </c>
      <c r="L57" s="6"/>
      <c r="M57" s="6"/>
      <c r="N57" s="7">
        <f t="shared" si="32"/>
        <v>1638.63</v>
      </c>
      <c r="O57" s="7">
        <f t="shared" si="33"/>
        <v>2132.82</v>
      </c>
      <c r="P57" s="7">
        <f t="shared" si="29"/>
        <v>26783.52</v>
      </c>
      <c r="Q57" s="3"/>
    </row>
    <row r="58" spans="1:17" ht="15.75">
      <c r="A58" s="1">
        <v>30017</v>
      </c>
      <c r="B58" s="17" t="s">
        <v>53</v>
      </c>
      <c r="C58" s="7">
        <f t="shared" si="30"/>
        <v>1180.22</v>
      </c>
      <c r="D58" s="7">
        <f t="shared" si="24"/>
        <v>17703.3</v>
      </c>
      <c r="E58" s="7">
        <f t="shared" si="34"/>
        <v>476.39</v>
      </c>
      <c r="F58" s="7">
        <f t="shared" si="25"/>
        <v>5716.68</v>
      </c>
      <c r="G58" s="7">
        <f>$G$14</f>
        <v>335.89</v>
      </c>
      <c r="H58" s="7">
        <f t="shared" si="26"/>
        <v>81.57</v>
      </c>
      <c r="I58" s="7">
        <f t="shared" si="27"/>
        <v>978.81</v>
      </c>
      <c r="J58" s="7">
        <f t="shared" si="31"/>
        <v>26.72</v>
      </c>
      <c r="K58" s="7">
        <f t="shared" si="28"/>
        <v>400.79999999999995</v>
      </c>
      <c r="L58" s="6"/>
      <c r="M58" s="6"/>
      <c r="N58" s="7">
        <f t="shared" si="32"/>
        <v>1638.63</v>
      </c>
      <c r="O58" s="7">
        <f t="shared" si="33"/>
        <v>2132.82</v>
      </c>
      <c r="P58" s="7">
        <f t="shared" si="29"/>
        <v>26867.5</v>
      </c>
      <c r="Q58" s="3"/>
    </row>
    <row r="59" spans="1:17" ht="15.75">
      <c r="A59" s="1">
        <v>30018</v>
      </c>
      <c r="B59" s="17" t="s">
        <v>54</v>
      </c>
      <c r="C59" s="7">
        <f t="shared" si="30"/>
        <v>1180.22</v>
      </c>
      <c r="D59" s="7">
        <f t="shared" si="24"/>
        <v>17703.3</v>
      </c>
      <c r="E59" s="7">
        <f t="shared" si="34"/>
        <v>476.39</v>
      </c>
      <c r="F59" s="7">
        <f t="shared" si="25"/>
        <v>5716.68</v>
      </c>
      <c r="G59" s="7">
        <f>$G$42</f>
        <v>503.83</v>
      </c>
      <c r="H59" s="7">
        <f t="shared" si="26"/>
        <v>81.57</v>
      </c>
      <c r="I59" s="7">
        <f t="shared" si="27"/>
        <v>978.81</v>
      </c>
      <c r="J59" s="7">
        <f t="shared" si="31"/>
        <v>26.72</v>
      </c>
      <c r="K59" s="7">
        <f t="shared" si="28"/>
        <v>400.79999999999995</v>
      </c>
      <c r="L59" s="6"/>
      <c r="M59" s="6"/>
      <c r="N59" s="7">
        <f t="shared" si="32"/>
        <v>1638.63</v>
      </c>
      <c r="O59" s="7">
        <f t="shared" si="33"/>
        <v>2132.82</v>
      </c>
      <c r="P59" s="7">
        <f t="shared" si="29"/>
        <v>27035.44</v>
      </c>
      <c r="Q59" s="3"/>
    </row>
    <row r="60" spans="1:17" ht="15.75">
      <c r="A60" s="1">
        <v>30019</v>
      </c>
      <c r="B60" s="17" t="s">
        <v>55</v>
      </c>
      <c r="C60" s="7">
        <f t="shared" si="30"/>
        <v>1180.22</v>
      </c>
      <c r="D60" s="7">
        <f t="shared" si="24"/>
        <v>17703.3</v>
      </c>
      <c r="E60" s="7">
        <f t="shared" si="34"/>
        <v>476.39</v>
      </c>
      <c r="F60" s="7">
        <f t="shared" si="25"/>
        <v>5716.68</v>
      </c>
      <c r="G60" s="7">
        <f>$G$14</f>
        <v>335.89</v>
      </c>
      <c r="H60" s="7">
        <f t="shared" si="26"/>
        <v>81.57</v>
      </c>
      <c r="I60" s="7">
        <f t="shared" si="27"/>
        <v>978.81</v>
      </c>
      <c r="J60" s="7">
        <f t="shared" si="31"/>
        <v>26.72</v>
      </c>
      <c r="K60" s="7">
        <f t="shared" si="28"/>
        <v>400.79999999999995</v>
      </c>
      <c r="L60" s="6"/>
      <c r="M60" s="6"/>
      <c r="N60" s="7">
        <f t="shared" si="32"/>
        <v>1638.63</v>
      </c>
      <c r="O60" s="7">
        <f t="shared" si="33"/>
        <v>2132.82</v>
      </c>
      <c r="P60" s="7">
        <f t="shared" si="29"/>
        <v>26867.5</v>
      </c>
      <c r="Q60" s="3"/>
    </row>
    <row r="61" spans="1:17" ht="15.75">
      <c r="A61" s="1">
        <v>30020</v>
      </c>
      <c r="B61" s="17" t="s">
        <v>56</v>
      </c>
      <c r="C61" s="7">
        <f t="shared" si="30"/>
        <v>1180.22</v>
      </c>
      <c r="D61" s="7">
        <f t="shared" si="24"/>
        <v>17703.3</v>
      </c>
      <c r="E61" s="7">
        <f t="shared" si="34"/>
        <v>476.39</v>
      </c>
      <c r="F61" s="7">
        <f t="shared" si="25"/>
        <v>5716.68</v>
      </c>
      <c r="G61" s="7">
        <f>$G$11</f>
        <v>251.91</v>
      </c>
      <c r="H61" s="7">
        <f t="shared" si="26"/>
        <v>81.57</v>
      </c>
      <c r="I61" s="7">
        <f t="shared" si="27"/>
        <v>978.81</v>
      </c>
      <c r="J61" s="7">
        <f t="shared" si="31"/>
        <v>26.72</v>
      </c>
      <c r="K61" s="7">
        <f t="shared" si="28"/>
        <v>400.79999999999995</v>
      </c>
      <c r="L61" s="6"/>
      <c r="M61" s="6"/>
      <c r="N61" s="7">
        <f t="shared" si="32"/>
        <v>1638.63</v>
      </c>
      <c r="O61" s="7">
        <f t="shared" si="33"/>
        <v>2132.82</v>
      </c>
      <c r="P61" s="7">
        <f t="shared" si="29"/>
        <v>26783.52</v>
      </c>
      <c r="Q61" s="3"/>
    </row>
    <row r="62" spans="1:17" ht="15.75">
      <c r="A62" s="1">
        <v>30021</v>
      </c>
      <c r="B62" s="17" t="s">
        <v>57</v>
      </c>
      <c r="C62" s="7">
        <f t="shared" si="30"/>
        <v>1180.22</v>
      </c>
      <c r="D62" s="7">
        <f t="shared" si="24"/>
        <v>17703.3</v>
      </c>
      <c r="E62" s="7">
        <f t="shared" si="34"/>
        <v>476.39</v>
      </c>
      <c r="F62" s="7">
        <f t="shared" si="25"/>
        <v>5716.68</v>
      </c>
      <c r="G62" s="7">
        <f>$G$11</f>
        <v>251.91</v>
      </c>
      <c r="H62" s="7">
        <f t="shared" si="26"/>
        <v>81.57</v>
      </c>
      <c r="I62" s="7">
        <f t="shared" si="27"/>
        <v>978.81</v>
      </c>
      <c r="J62" s="7">
        <f t="shared" si="31"/>
        <v>26.72</v>
      </c>
      <c r="K62" s="7">
        <f t="shared" si="28"/>
        <v>400.79999999999995</v>
      </c>
      <c r="L62" s="6"/>
      <c r="M62" s="6"/>
      <c r="N62" s="7">
        <f t="shared" si="32"/>
        <v>1638.63</v>
      </c>
      <c r="O62" s="7">
        <f t="shared" si="33"/>
        <v>2132.82</v>
      </c>
      <c r="P62" s="7">
        <f t="shared" si="29"/>
        <v>26783.52</v>
      </c>
      <c r="Q62" s="3"/>
    </row>
    <row r="63" spans="1:17" ht="15.75">
      <c r="A63" s="1">
        <v>30024</v>
      </c>
      <c r="B63" s="17" t="s">
        <v>58</v>
      </c>
      <c r="C63" s="7">
        <f t="shared" si="30"/>
        <v>1180.22</v>
      </c>
      <c r="D63" s="7">
        <f t="shared" si="24"/>
        <v>17703.3</v>
      </c>
      <c r="E63" s="7">
        <f>E45</f>
        <v>596</v>
      </c>
      <c r="F63" s="7">
        <f t="shared" si="25"/>
        <v>7152</v>
      </c>
      <c r="G63" s="7">
        <f>$G$14</f>
        <v>335.89</v>
      </c>
      <c r="H63" s="7">
        <f t="shared" si="26"/>
        <v>81.57</v>
      </c>
      <c r="I63" s="7">
        <f t="shared" si="27"/>
        <v>978.81</v>
      </c>
      <c r="J63" s="7">
        <f t="shared" si="31"/>
        <v>26.72</v>
      </c>
      <c r="K63" s="7">
        <f t="shared" si="28"/>
        <v>400.79999999999995</v>
      </c>
      <c r="L63" s="6"/>
      <c r="M63" s="6"/>
      <c r="N63" s="7">
        <f t="shared" si="32"/>
        <v>1638.63</v>
      </c>
      <c r="O63" s="7">
        <f t="shared" si="33"/>
        <v>2132.82</v>
      </c>
      <c r="P63" s="7">
        <f t="shared" si="29"/>
        <v>28302.82</v>
      </c>
      <c r="Q63" s="3"/>
    </row>
    <row r="64" spans="1:17" ht="15.75">
      <c r="A64" s="1">
        <v>30022</v>
      </c>
      <c r="B64" s="17" t="s">
        <v>59</v>
      </c>
      <c r="C64" s="7">
        <f t="shared" si="30"/>
        <v>1180.22</v>
      </c>
      <c r="D64" s="7">
        <f t="shared" si="24"/>
        <v>17703.3</v>
      </c>
      <c r="E64" s="7">
        <f>E45</f>
        <v>596</v>
      </c>
      <c r="F64" s="7">
        <f t="shared" si="25"/>
        <v>7152</v>
      </c>
      <c r="G64" s="7">
        <f>$G$11</f>
        <v>251.91</v>
      </c>
      <c r="H64" s="7">
        <f t="shared" si="26"/>
        <v>81.57</v>
      </c>
      <c r="I64" s="7">
        <f t="shared" si="27"/>
        <v>978.81</v>
      </c>
      <c r="J64" s="7">
        <f t="shared" si="31"/>
        <v>26.72</v>
      </c>
      <c r="K64" s="7">
        <f t="shared" si="28"/>
        <v>400.79999999999995</v>
      </c>
      <c r="L64" s="6"/>
      <c r="M64" s="6"/>
      <c r="N64" s="7">
        <f t="shared" si="32"/>
        <v>1638.63</v>
      </c>
      <c r="O64" s="7">
        <f t="shared" si="33"/>
        <v>2132.82</v>
      </c>
      <c r="P64" s="7">
        <f t="shared" si="29"/>
        <v>28218.839999999997</v>
      </c>
      <c r="Q64" s="3"/>
    </row>
    <row r="65" spans="1:17" ht="15.75">
      <c r="A65" s="1">
        <v>30023</v>
      </c>
      <c r="B65" s="17" t="s">
        <v>60</v>
      </c>
      <c r="C65" s="7">
        <f>$C$42</f>
        <v>1180.22</v>
      </c>
      <c r="D65" s="7">
        <f t="shared" si="24"/>
        <v>17703.3</v>
      </c>
      <c r="E65" s="7">
        <f>E59</f>
        <v>476.39</v>
      </c>
      <c r="F65" s="7">
        <f t="shared" si="25"/>
        <v>5716.68</v>
      </c>
      <c r="G65" s="7">
        <f>$G$11</f>
        <v>251.91</v>
      </c>
      <c r="H65" s="7">
        <f t="shared" si="26"/>
        <v>81.57</v>
      </c>
      <c r="I65" s="7">
        <f t="shared" si="27"/>
        <v>978.81</v>
      </c>
      <c r="J65" s="7">
        <f t="shared" si="31"/>
        <v>26.72</v>
      </c>
      <c r="K65" s="7">
        <f t="shared" si="28"/>
        <v>400.79999999999995</v>
      </c>
      <c r="L65" s="6"/>
      <c r="M65" s="6"/>
      <c r="N65" s="7">
        <f t="shared" si="32"/>
        <v>1638.63</v>
      </c>
      <c r="O65" s="7">
        <f t="shared" si="33"/>
        <v>2132.82</v>
      </c>
      <c r="P65" s="7">
        <f t="shared" si="29"/>
        <v>26783.52</v>
      </c>
      <c r="Q65" s="3"/>
    </row>
    <row r="66" spans="2:17" ht="15.75">
      <c r="B66" s="16"/>
      <c r="E66" s="3"/>
      <c r="F66" s="3"/>
      <c r="G66" s="3"/>
      <c r="Q66" s="3"/>
    </row>
    <row r="67" spans="2:17" ht="15.75">
      <c r="B67" s="16"/>
      <c r="E67" s="3"/>
      <c r="F67" s="3"/>
      <c r="G67" s="3"/>
      <c r="Q67" s="3"/>
    </row>
    <row r="68" spans="2:17" ht="15.75">
      <c r="B68" s="16"/>
      <c r="E68" s="3"/>
      <c r="F68" s="3"/>
      <c r="G68" s="3"/>
      <c r="Q68" s="3"/>
    </row>
    <row r="69" spans="2:17" ht="15.75">
      <c r="B69" s="17" t="s">
        <v>61</v>
      </c>
      <c r="C69" s="42" t="s">
        <v>84</v>
      </c>
      <c r="D69" s="42"/>
      <c r="E69" s="43" t="s">
        <v>83</v>
      </c>
      <c r="F69" s="43"/>
      <c r="G69" s="13" t="s">
        <v>11</v>
      </c>
      <c r="H69" s="42" t="s">
        <v>85</v>
      </c>
      <c r="I69" s="42"/>
      <c r="J69" s="42" t="s">
        <v>86</v>
      </c>
      <c r="K69" s="42"/>
      <c r="L69" s="42" t="s">
        <v>92</v>
      </c>
      <c r="M69" s="42"/>
      <c r="N69" s="12" t="s">
        <v>99</v>
      </c>
      <c r="O69" s="12" t="s">
        <v>99</v>
      </c>
      <c r="P69" s="12" t="s">
        <v>1</v>
      </c>
      <c r="Q69" s="3"/>
    </row>
    <row r="70" spans="2:17" ht="15.75">
      <c r="B70" s="17" t="s">
        <v>12</v>
      </c>
      <c r="C70" s="13" t="s">
        <v>2</v>
      </c>
      <c r="D70" s="13" t="s">
        <v>1</v>
      </c>
      <c r="E70" s="13" t="s">
        <v>2</v>
      </c>
      <c r="F70" s="13" t="s">
        <v>1</v>
      </c>
      <c r="G70" s="13" t="s">
        <v>1</v>
      </c>
      <c r="H70" s="13" t="s">
        <v>2</v>
      </c>
      <c r="I70" s="13" t="s">
        <v>1</v>
      </c>
      <c r="J70" s="13" t="s">
        <v>2</v>
      </c>
      <c r="K70" s="13" t="s">
        <v>1</v>
      </c>
      <c r="L70" s="13" t="s">
        <v>2</v>
      </c>
      <c r="M70" s="13" t="s">
        <v>1</v>
      </c>
      <c r="N70" s="13" t="s">
        <v>1</v>
      </c>
      <c r="O70" s="13" t="s">
        <v>1</v>
      </c>
      <c r="P70" s="12" t="s">
        <v>0</v>
      </c>
      <c r="Q70" s="3"/>
    </row>
    <row r="71" spans="2:17" ht="15.75">
      <c r="B71" s="17"/>
      <c r="C71" s="10"/>
      <c r="D71" s="11">
        <v>15</v>
      </c>
      <c r="E71" s="10"/>
      <c r="F71" s="11">
        <v>12</v>
      </c>
      <c r="G71" s="10"/>
      <c r="H71" s="10"/>
      <c r="I71" s="11">
        <f>F71</f>
        <v>12</v>
      </c>
      <c r="J71" s="10"/>
      <c r="K71" s="11">
        <f>D71</f>
        <v>15</v>
      </c>
      <c r="L71" s="10"/>
      <c r="M71" s="11">
        <f>D71</f>
        <v>15</v>
      </c>
      <c r="N71" s="11"/>
      <c r="O71" s="11"/>
      <c r="P71" s="6"/>
      <c r="Q71" s="3"/>
    </row>
    <row r="72" spans="1:17" ht="15.75">
      <c r="A72" s="1">
        <v>40001</v>
      </c>
      <c r="B72" s="17" t="s">
        <v>62</v>
      </c>
      <c r="C72" s="24">
        <f>ROUND(1002.37*$J$3,2)</f>
        <v>1032.44</v>
      </c>
      <c r="D72" s="7">
        <f aca="true" t="shared" si="35" ref="D72:D88">C72*$D$10</f>
        <v>15486.6</v>
      </c>
      <c r="E72" s="24">
        <f>ROUND(315.22*$J$3,2)</f>
        <v>324.68</v>
      </c>
      <c r="F72" s="7">
        <f aca="true" t="shared" si="36" ref="F72:F88">E72*$F$10</f>
        <v>3896.16</v>
      </c>
      <c r="G72" s="7">
        <f>$G$42</f>
        <v>503.83</v>
      </c>
      <c r="H72" s="7">
        <f aca="true" t="shared" si="37" ref="H72:H88">$H$11</f>
        <v>81.57</v>
      </c>
      <c r="I72" s="7">
        <f aca="true" t="shared" si="38" ref="I72:I88">$I$11</f>
        <v>978.81</v>
      </c>
      <c r="J72" s="24">
        <f>ROUND(26.2*$J$5,2)</f>
        <v>26.72</v>
      </c>
      <c r="K72" s="7">
        <f aca="true" t="shared" si="39" ref="K72:M87">J72*$D$10</f>
        <v>400.79999999999995</v>
      </c>
      <c r="L72" s="24">
        <f>ROUND(17.51*J5,2)</f>
        <v>17.86</v>
      </c>
      <c r="M72" s="7">
        <f t="shared" si="39"/>
        <v>267.9</v>
      </c>
      <c r="N72" s="24">
        <v>1586.61</v>
      </c>
      <c r="O72" s="24">
        <f>+ROUND(1989*$J$5,2)</f>
        <v>2028.78</v>
      </c>
      <c r="P72" s="7">
        <f>I72+G72+F72+D72+O72</f>
        <v>22894.18</v>
      </c>
      <c r="Q72" s="3"/>
    </row>
    <row r="73" spans="1:17" ht="15.75">
      <c r="A73" s="1">
        <v>40002</v>
      </c>
      <c r="B73" s="17" t="s">
        <v>63</v>
      </c>
      <c r="C73" s="7">
        <f>C72</f>
        <v>1032.44</v>
      </c>
      <c r="D73" s="7">
        <f t="shared" si="35"/>
        <v>15486.6</v>
      </c>
      <c r="E73" s="7">
        <f>E72</f>
        <v>324.68</v>
      </c>
      <c r="F73" s="7">
        <f t="shared" si="36"/>
        <v>3896.16</v>
      </c>
      <c r="G73" s="7">
        <f>$G$42</f>
        <v>503.83</v>
      </c>
      <c r="H73" s="7">
        <f t="shared" si="37"/>
        <v>81.57</v>
      </c>
      <c r="I73" s="7">
        <f t="shared" si="38"/>
        <v>978.81</v>
      </c>
      <c r="J73" s="7">
        <f>J72</f>
        <v>26.72</v>
      </c>
      <c r="K73" s="7">
        <f t="shared" si="39"/>
        <v>400.79999999999995</v>
      </c>
      <c r="L73" s="7">
        <f>L72</f>
        <v>17.86</v>
      </c>
      <c r="M73" s="7">
        <f t="shared" si="39"/>
        <v>267.9</v>
      </c>
      <c r="N73" s="7">
        <f>+$N$72</f>
        <v>1586.61</v>
      </c>
      <c r="O73" s="7">
        <f>+$O$72</f>
        <v>2028.78</v>
      </c>
      <c r="P73" s="7">
        <f aca="true" t="shared" si="40" ref="P73:P88">I73+G73+F73+D73+O73</f>
        <v>22894.18</v>
      </c>
      <c r="Q73" s="3"/>
    </row>
    <row r="74" spans="1:17" ht="15.75">
      <c r="A74" s="1">
        <v>40003</v>
      </c>
      <c r="B74" s="17" t="s">
        <v>64</v>
      </c>
      <c r="C74" s="7">
        <f aca="true" t="shared" si="41" ref="C74:C88">C73</f>
        <v>1032.44</v>
      </c>
      <c r="D74" s="7">
        <f t="shared" si="35"/>
        <v>15486.6</v>
      </c>
      <c r="E74" s="7">
        <f aca="true" t="shared" si="42" ref="E74:E88">E73</f>
        <v>324.68</v>
      </c>
      <c r="F74" s="7">
        <f t="shared" si="36"/>
        <v>3896.16</v>
      </c>
      <c r="G74" s="7">
        <f>$G$42</f>
        <v>503.83</v>
      </c>
      <c r="H74" s="7">
        <f t="shared" si="37"/>
        <v>81.57</v>
      </c>
      <c r="I74" s="7">
        <f t="shared" si="38"/>
        <v>978.81</v>
      </c>
      <c r="J74" s="7">
        <f aca="true" t="shared" si="43" ref="J74:J88">J73</f>
        <v>26.72</v>
      </c>
      <c r="K74" s="7">
        <f t="shared" si="39"/>
        <v>400.79999999999995</v>
      </c>
      <c r="L74" s="7">
        <f aca="true" t="shared" si="44" ref="L74:L88">L73</f>
        <v>17.86</v>
      </c>
      <c r="M74" s="7">
        <f t="shared" si="39"/>
        <v>267.9</v>
      </c>
      <c r="N74" s="7">
        <f aca="true" t="shared" si="45" ref="N74:N88">+$N$72</f>
        <v>1586.61</v>
      </c>
      <c r="O74" s="7">
        <f aca="true" t="shared" si="46" ref="O74:O88">+$O$72</f>
        <v>2028.78</v>
      </c>
      <c r="P74" s="7">
        <f t="shared" si="40"/>
        <v>22894.18</v>
      </c>
      <c r="Q74" s="3"/>
    </row>
    <row r="75" spans="1:17" ht="15.75">
      <c r="A75" s="1">
        <v>40004</v>
      </c>
      <c r="B75" s="17" t="s">
        <v>65</v>
      </c>
      <c r="C75" s="7">
        <f t="shared" si="41"/>
        <v>1032.44</v>
      </c>
      <c r="D75" s="7">
        <f t="shared" si="35"/>
        <v>15486.6</v>
      </c>
      <c r="E75" s="7">
        <f t="shared" si="42"/>
        <v>324.68</v>
      </c>
      <c r="F75" s="7">
        <f t="shared" si="36"/>
        <v>3896.16</v>
      </c>
      <c r="G75" s="7">
        <f>$G$14</f>
        <v>335.89</v>
      </c>
      <c r="H75" s="7">
        <f t="shared" si="37"/>
        <v>81.57</v>
      </c>
      <c r="I75" s="7">
        <f t="shared" si="38"/>
        <v>978.81</v>
      </c>
      <c r="J75" s="7">
        <f t="shared" si="43"/>
        <v>26.72</v>
      </c>
      <c r="K75" s="7">
        <f t="shared" si="39"/>
        <v>400.79999999999995</v>
      </c>
      <c r="L75" s="7">
        <f t="shared" si="44"/>
        <v>17.86</v>
      </c>
      <c r="M75" s="7">
        <f t="shared" si="39"/>
        <v>267.9</v>
      </c>
      <c r="N75" s="7">
        <f t="shared" si="45"/>
        <v>1586.61</v>
      </c>
      <c r="O75" s="7">
        <f t="shared" si="46"/>
        <v>2028.78</v>
      </c>
      <c r="P75" s="7">
        <f t="shared" si="40"/>
        <v>22726.239999999998</v>
      </c>
      <c r="Q75" s="3"/>
    </row>
    <row r="76" spans="1:17" ht="15.75">
      <c r="A76" s="1">
        <v>40005</v>
      </c>
      <c r="B76" s="17" t="s">
        <v>66</v>
      </c>
      <c r="C76" s="7">
        <f t="shared" si="41"/>
        <v>1032.44</v>
      </c>
      <c r="D76" s="7">
        <f t="shared" si="35"/>
        <v>15486.6</v>
      </c>
      <c r="E76" s="7">
        <f t="shared" si="42"/>
        <v>324.68</v>
      </c>
      <c r="F76" s="7">
        <f t="shared" si="36"/>
        <v>3896.16</v>
      </c>
      <c r="G76" s="7">
        <f>$G$14</f>
        <v>335.89</v>
      </c>
      <c r="H76" s="7">
        <f t="shared" si="37"/>
        <v>81.57</v>
      </c>
      <c r="I76" s="7">
        <f t="shared" si="38"/>
        <v>978.81</v>
      </c>
      <c r="J76" s="7">
        <f t="shared" si="43"/>
        <v>26.72</v>
      </c>
      <c r="K76" s="7">
        <f t="shared" si="39"/>
        <v>400.79999999999995</v>
      </c>
      <c r="L76" s="7">
        <f t="shared" si="44"/>
        <v>17.86</v>
      </c>
      <c r="M76" s="7">
        <f t="shared" si="39"/>
        <v>267.9</v>
      </c>
      <c r="N76" s="7">
        <f t="shared" si="45"/>
        <v>1586.61</v>
      </c>
      <c r="O76" s="7">
        <f t="shared" si="46"/>
        <v>2028.78</v>
      </c>
      <c r="P76" s="7">
        <f t="shared" si="40"/>
        <v>22726.239999999998</v>
      </c>
      <c r="Q76" s="3"/>
    </row>
    <row r="77" spans="1:17" ht="15.75">
      <c r="A77" s="1">
        <v>40006</v>
      </c>
      <c r="B77" s="17" t="s">
        <v>67</v>
      </c>
      <c r="C77" s="7">
        <f t="shared" si="41"/>
        <v>1032.44</v>
      </c>
      <c r="D77" s="7">
        <f t="shared" si="35"/>
        <v>15486.6</v>
      </c>
      <c r="E77" s="7">
        <f t="shared" si="42"/>
        <v>324.68</v>
      </c>
      <c r="F77" s="7">
        <f t="shared" si="36"/>
        <v>3896.16</v>
      </c>
      <c r="G77" s="7">
        <f>$G$14</f>
        <v>335.89</v>
      </c>
      <c r="H77" s="7">
        <f t="shared" si="37"/>
        <v>81.57</v>
      </c>
      <c r="I77" s="7">
        <f t="shared" si="38"/>
        <v>978.81</v>
      </c>
      <c r="J77" s="7">
        <f t="shared" si="43"/>
        <v>26.72</v>
      </c>
      <c r="K77" s="7">
        <f t="shared" si="39"/>
        <v>400.79999999999995</v>
      </c>
      <c r="L77" s="7">
        <f t="shared" si="44"/>
        <v>17.86</v>
      </c>
      <c r="M77" s="7">
        <f t="shared" si="39"/>
        <v>267.9</v>
      </c>
      <c r="N77" s="7">
        <f t="shared" si="45"/>
        <v>1586.61</v>
      </c>
      <c r="O77" s="7">
        <f t="shared" si="46"/>
        <v>2028.78</v>
      </c>
      <c r="P77" s="7">
        <f t="shared" si="40"/>
        <v>22726.239999999998</v>
      </c>
      <c r="Q77" s="3"/>
    </row>
    <row r="78" spans="1:17" ht="15.75">
      <c r="A78" s="1">
        <v>40007</v>
      </c>
      <c r="B78" s="17" t="s">
        <v>68</v>
      </c>
      <c r="C78" s="7">
        <f t="shared" si="41"/>
        <v>1032.44</v>
      </c>
      <c r="D78" s="7">
        <f t="shared" si="35"/>
        <v>15486.6</v>
      </c>
      <c r="E78" s="7">
        <f t="shared" si="42"/>
        <v>324.68</v>
      </c>
      <c r="F78" s="7">
        <f t="shared" si="36"/>
        <v>3896.16</v>
      </c>
      <c r="G78" s="7">
        <f>$G$42</f>
        <v>503.83</v>
      </c>
      <c r="H78" s="7">
        <f t="shared" si="37"/>
        <v>81.57</v>
      </c>
      <c r="I78" s="7">
        <f t="shared" si="38"/>
        <v>978.81</v>
      </c>
      <c r="J78" s="7">
        <f t="shared" si="43"/>
        <v>26.72</v>
      </c>
      <c r="K78" s="7">
        <f t="shared" si="39"/>
        <v>400.79999999999995</v>
      </c>
      <c r="L78" s="7">
        <f t="shared" si="44"/>
        <v>17.86</v>
      </c>
      <c r="M78" s="7">
        <f t="shared" si="39"/>
        <v>267.9</v>
      </c>
      <c r="N78" s="7">
        <f t="shared" si="45"/>
        <v>1586.61</v>
      </c>
      <c r="O78" s="7">
        <f t="shared" si="46"/>
        <v>2028.78</v>
      </c>
      <c r="P78" s="7">
        <f t="shared" si="40"/>
        <v>22894.18</v>
      </c>
      <c r="Q78" s="3"/>
    </row>
    <row r="79" spans="1:17" ht="15.75">
      <c r="A79" s="1">
        <v>40008</v>
      </c>
      <c r="B79" s="17" t="s">
        <v>69</v>
      </c>
      <c r="C79" s="7">
        <f t="shared" si="41"/>
        <v>1032.44</v>
      </c>
      <c r="D79" s="7">
        <f t="shared" si="35"/>
        <v>15486.6</v>
      </c>
      <c r="E79" s="7">
        <f t="shared" si="42"/>
        <v>324.68</v>
      </c>
      <c r="F79" s="7">
        <f t="shared" si="36"/>
        <v>3896.16</v>
      </c>
      <c r="G79" s="7">
        <f>$G$14</f>
        <v>335.89</v>
      </c>
      <c r="H79" s="7">
        <f t="shared" si="37"/>
        <v>81.57</v>
      </c>
      <c r="I79" s="7">
        <f t="shared" si="38"/>
        <v>978.81</v>
      </c>
      <c r="J79" s="7">
        <f t="shared" si="43"/>
        <v>26.72</v>
      </c>
      <c r="K79" s="7">
        <f t="shared" si="39"/>
        <v>400.79999999999995</v>
      </c>
      <c r="L79" s="7">
        <f t="shared" si="44"/>
        <v>17.86</v>
      </c>
      <c r="M79" s="7">
        <f t="shared" si="39"/>
        <v>267.9</v>
      </c>
      <c r="N79" s="7">
        <f t="shared" si="45"/>
        <v>1586.61</v>
      </c>
      <c r="O79" s="7">
        <f t="shared" si="46"/>
        <v>2028.78</v>
      </c>
      <c r="P79" s="7">
        <f t="shared" si="40"/>
        <v>22726.239999999998</v>
      </c>
      <c r="Q79" s="3"/>
    </row>
    <row r="80" spans="1:17" ht="15.75">
      <c r="A80" s="1">
        <v>40009</v>
      </c>
      <c r="B80" s="17" t="s">
        <v>70</v>
      </c>
      <c r="C80" s="7">
        <f t="shared" si="41"/>
        <v>1032.44</v>
      </c>
      <c r="D80" s="7">
        <f t="shared" si="35"/>
        <v>15486.6</v>
      </c>
      <c r="E80" s="7">
        <f t="shared" si="42"/>
        <v>324.68</v>
      </c>
      <c r="F80" s="7">
        <f t="shared" si="36"/>
        <v>3896.16</v>
      </c>
      <c r="G80" s="7">
        <f>$G$42</f>
        <v>503.83</v>
      </c>
      <c r="H80" s="7">
        <f t="shared" si="37"/>
        <v>81.57</v>
      </c>
      <c r="I80" s="7">
        <f t="shared" si="38"/>
        <v>978.81</v>
      </c>
      <c r="J80" s="7">
        <f t="shared" si="43"/>
        <v>26.72</v>
      </c>
      <c r="K80" s="7">
        <f t="shared" si="39"/>
        <v>400.79999999999995</v>
      </c>
      <c r="L80" s="7">
        <f t="shared" si="44"/>
        <v>17.86</v>
      </c>
      <c r="M80" s="7">
        <f t="shared" si="39"/>
        <v>267.9</v>
      </c>
      <c r="N80" s="7">
        <f t="shared" si="45"/>
        <v>1586.61</v>
      </c>
      <c r="O80" s="7">
        <f t="shared" si="46"/>
        <v>2028.78</v>
      </c>
      <c r="P80" s="7">
        <f t="shared" si="40"/>
        <v>22894.18</v>
      </c>
      <c r="Q80" s="3"/>
    </row>
    <row r="81" spans="1:17" ht="15.75">
      <c r="A81" s="1">
        <v>40010</v>
      </c>
      <c r="B81" s="17" t="s">
        <v>71</v>
      </c>
      <c r="C81" s="7">
        <f t="shared" si="41"/>
        <v>1032.44</v>
      </c>
      <c r="D81" s="7">
        <f t="shared" si="35"/>
        <v>15486.6</v>
      </c>
      <c r="E81" s="7">
        <f t="shared" si="42"/>
        <v>324.68</v>
      </c>
      <c r="F81" s="7">
        <f t="shared" si="36"/>
        <v>3896.16</v>
      </c>
      <c r="G81" s="7">
        <f>$G$14</f>
        <v>335.89</v>
      </c>
      <c r="H81" s="7">
        <f t="shared" si="37"/>
        <v>81.57</v>
      </c>
      <c r="I81" s="7">
        <f t="shared" si="38"/>
        <v>978.81</v>
      </c>
      <c r="J81" s="7">
        <f t="shared" si="43"/>
        <v>26.72</v>
      </c>
      <c r="K81" s="7">
        <f t="shared" si="39"/>
        <v>400.79999999999995</v>
      </c>
      <c r="L81" s="7">
        <f t="shared" si="44"/>
        <v>17.86</v>
      </c>
      <c r="M81" s="7">
        <f t="shared" si="39"/>
        <v>267.9</v>
      </c>
      <c r="N81" s="7">
        <f t="shared" si="45"/>
        <v>1586.61</v>
      </c>
      <c r="O81" s="7">
        <f t="shared" si="46"/>
        <v>2028.78</v>
      </c>
      <c r="P81" s="7">
        <f t="shared" si="40"/>
        <v>22726.239999999998</v>
      </c>
      <c r="Q81" s="3"/>
    </row>
    <row r="82" spans="1:17" ht="15.75">
      <c r="A82" s="1">
        <v>40011</v>
      </c>
      <c r="B82" s="17" t="s">
        <v>72</v>
      </c>
      <c r="C82" s="7">
        <f t="shared" si="41"/>
        <v>1032.44</v>
      </c>
      <c r="D82" s="7">
        <f t="shared" si="35"/>
        <v>15486.6</v>
      </c>
      <c r="E82" s="7">
        <f t="shared" si="42"/>
        <v>324.68</v>
      </c>
      <c r="F82" s="7">
        <f t="shared" si="36"/>
        <v>3896.16</v>
      </c>
      <c r="G82" s="7">
        <f>$G$14</f>
        <v>335.89</v>
      </c>
      <c r="H82" s="7">
        <f t="shared" si="37"/>
        <v>81.57</v>
      </c>
      <c r="I82" s="7">
        <f t="shared" si="38"/>
        <v>978.81</v>
      </c>
      <c r="J82" s="7">
        <f t="shared" si="43"/>
        <v>26.72</v>
      </c>
      <c r="K82" s="7">
        <f t="shared" si="39"/>
        <v>400.79999999999995</v>
      </c>
      <c r="L82" s="7">
        <f t="shared" si="44"/>
        <v>17.86</v>
      </c>
      <c r="M82" s="7">
        <f t="shared" si="39"/>
        <v>267.9</v>
      </c>
      <c r="N82" s="7">
        <f t="shared" si="45"/>
        <v>1586.61</v>
      </c>
      <c r="O82" s="7">
        <f t="shared" si="46"/>
        <v>2028.78</v>
      </c>
      <c r="P82" s="7">
        <f t="shared" si="40"/>
        <v>22726.239999999998</v>
      </c>
      <c r="Q82" s="3"/>
    </row>
    <row r="83" spans="1:17" ht="15.75">
      <c r="A83" s="1">
        <v>40012</v>
      </c>
      <c r="B83" s="17" t="s">
        <v>73</v>
      </c>
      <c r="C83" s="7">
        <f t="shared" si="41"/>
        <v>1032.44</v>
      </c>
      <c r="D83" s="7">
        <f t="shared" si="35"/>
        <v>15486.6</v>
      </c>
      <c r="E83" s="7">
        <f t="shared" si="42"/>
        <v>324.68</v>
      </c>
      <c r="F83" s="7">
        <f t="shared" si="36"/>
        <v>3896.16</v>
      </c>
      <c r="G83" s="7">
        <f>$G$42</f>
        <v>503.83</v>
      </c>
      <c r="H83" s="7">
        <f t="shared" si="37"/>
        <v>81.57</v>
      </c>
      <c r="I83" s="7">
        <f t="shared" si="38"/>
        <v>978.81</v>
      </c>
      <c r="J83" s="7">
        <f t="shared" si="43"/>
        <v>26.72</v>
      </c>
      <c r="K83" s="7">
        <f t="shared" si="39"/>
        <v>400.79999999999995</v>
      </c>
      <c r="L83" s="7">
        <f t="shared" si="44"/>
        <v>17.86</v>
      </c>
      <c r="M83" s="7">
        <f t="shared" si="39"/>
        <v>267.9</v>
      </c>
      <c r="N83" s="7">
        <f t="shared" si="45"/>
        <v>1586.61</v>
      </c>
      <c r="O83" s="7">
        <f t="shared" si="46"/>
        <v>2028.78</v>
      </c>
      <c r="P83" s="7">
        <f t="shared" si="40"/>
        <v>22894.18</v>
      </c>
      <c r="Q83" s="3"/>
    </row>
    <row r="84" spans="1:17" ht="15.75">
      <c r="A84" s="1">
        <v>40017</v>
      </c>
      <c r="B84" s="17" t="s">
        <v>74</v>
      </c>
      <c r="C84" s="7">
        <f t="shared" si="41"/>
        <v>1032.44</v>
      </c>
      <c r="D84" s="7">
        <f t="shared" si="35"/>
        <v>15486.6</v>
      </c>
      <c r="E84" s="7">
        <f t="shared" si="42"/>
        <v>324.68</v>
      </c>
      <c r="F84" s="7">
        <f t="shared" si="36"/>
        <v>3896.16</v>
      </c>
      <c r="G84" s="7">
        <f>$G$42</f>
        <v>503.83</v>
      </c>
      <c r="H84" s="7">
        <f t="shared" si="37"/>
        <v>81.57</v>
      </c>
      <c r="I84" s="7">
        <f t="shared" si="38"/>
        <v>978.81</v>
      </c>
      <c r="J84" s="7">
        <f t="shared" si="43"/>
        <v>26.72</v>
      </c>
      <c r="K84" s="7">
        <f t="shared" si="39"/>
        <v>400.79999999999995</v>
      </c>
      <c r="L84" s="7">
        <f t="shared" si="44"/>
        <v>17.86</v>
      </c>
      <c r="M84" s="7">
        <f t="shared" si="39"/>
        <v>267.9</v>
      </c>
      <c r="N84" s="7">
        <f t="shared" si="45"/>
        <v>1586.61</v>
      </c>
      <c r="O84" s="7">
        <f t="shared" si="46"/>
        <v>2028.78</v>
      </c>
      <c r="P84" s="7">
        <f t="shared" si="40"/>
        <v>22894.18</v>
      </c>
      <c r="Q84" s="3"/>
    </row>
    <row r="85" spans="1:17" ht="15.75">
      <c r="A85" s="1">
        <v>40013</v>
      </c>
      <c r="B85" s="17" t="s">
        <v>75</v>
      </c>
      <c r="C85" s="7">
        <f t="shared" si="41"/>
        <v>1032.44</v>
      </c>
      <c r="D85" s="7">
        <f t="shared" si="35"/>
        <v>15486.6</v>
      </c>
      <c r="E85" s="7">
        <f t="shared" si="42"/>
        <v>324.68</v>
      </c>
      <c r="F85" s="7">
        <f t="shared" si="36"/>
        <v>3896.16</v>
      </c>
      <c r="G85" s="7">
        <f>$G$14</f>
        <v>335.89</v>
      </c>
      <c r="H85" s="7">
        <f t="shared" si="37"/>
        <v>81.57</v>
      </c>
      <c r="I85" s="7">
        <f t="shared" si="38"/>
        <v>978.81</v>
      </c>
      <c r="J85" s="7">
        <f t="shared" si="43"/>
        <v>26.72</v>
      </c>
      <c r="K85" s="7">
        <f t="shared" si="39"/>
        <v>400.79999999999995</v>
      </c>
      <c r="L85" s="7">
        <f t="shared" si="44"/>
        <v>17.86</v>
      </c>
      <c r="M85" s="7">
        <f t="shared" si="39"/>
        <v>267.9</v>
      </c>
      <c r="N85" s="7">
        <f t="shared" si="45"/>
        <v>1586.61</v>
      </c>
      <c r="O85" s="7">
        <f t="shared" si="46"/>
        <v>2028.78</v>
      </c>
      <c r="P85" s="7">
        <f t="shared" si="40"/>
        <v>22726.239999999998</v>
      </c>
      <c r="Q85" s="3"/>
    </row>
    <row r="86" spans="1:17" ht="15.75">
      <c r="A86" s="1">
        <v>40014</v>
      </c>
      <c r="B86" s="17" t="s">
        <v>76</v>
      </c>
      <c r="C86" s="7">
        <f t="shared" si="41"/>
        <v>1032.44</v>
      </c>
      <c r="D86" s="7">
        <f t="shared" si="35"/>
        <v>15486.6</v>
      </c>
      <c r="E86" s="7">
        <f t="shared" si="42"/>
        <v>324.68</v>
      </c>
      <c r="F86" s="7">
        <f t="shared" si="36"/>
        <v>3896.16</v>
      </c>
      <c r="G86" s="7">
        <f>$G$42</f>
        <v>503.83</v>
      </c>
      <c r="H86" s="7">
        <f t="shared" si="37"/>
        <v>81.57</v>
      </c>
      <c r="I86" s="7">
        <f t="shared" si="38"/>
        <v>978.81</v>
      </c>
      <c r="J86" s="7">
        <f t="shared" si="43"/>
        <v>26.72</v>
      </c>
      <c r="K86" s="7">
        <f t="shared" si="39"/>
        <v>400.79999999999995</v>
      </c>
      <c r="L86" s="7">
        <f t="shared" si="44"/>
        <v>17.86</v>
      </c>
      <c r="M86" s="7">
        <f t="shared" si="39"/>
        <v>267.9</v>
      </c>
      <c r="N86" s="7">
        <f t="shared" si="45"/>
        <v>1586.61</v>
      </c>
      <c r="O86" s="7">
        <f t="shared" si="46"/>
        <v>2028.78</v>
      </c>
      <c r="P86" s="7">
        <f t="shared" si="40"/>
        <v>22894.18</v>
      </c>
      <c r="Q86" s="3"/>
    </row>
    <row r="87" spans="1:17" ht="15.75">
      <c r="A87" s="1">
        <v>40015</v>
      </c>
      <c r="B87" s="17" t="s">
        <v>77</v>
      </c>
      <c r="C87" s="7">
        <f t="shared" si="41"/>
        <v>1032.44</v>
      </c>
      <c r="D87" s="7">
        <f t="shared" si="35"/>
        <v>15486.6</v>
      </c>
      <c r="E87" s="7">
        <f t="shared" si="42"/>
        <v>324.68</v>
      </c>
      <c r="F87" s="7">
        <f t="shared" si="36"/>
        <v>3896.16</v>
      </c>
      <c r="G87" s="7">
        <f>$G$11</f>
        <v>251.91</v>
      </c>
      <c r="H87" s="7">
        <f t="shared" si="37"/>
        <v>81.57</v>
      </c>
      <c r="I87" s="7">
        <f t="shared" si="38"/>
        <v>978.81</v>
      </c>
      <c r="J87" s="7">
        <f t="shared" si="43"/>
        <v>26.72</v>
      </c>
      <c r="K87" s="7">
        <f t="shared" si="39"/>
        <v>400.79999999999995</v>
      </c>
      <c r="L87" s="7">
        <f t="shared" si="44"/>
        <v>17.86</v>
      </c>
      <c r="M87" s="7">
        <f t="shared" si="39"/>
        <v>267.9</v>
      </c>
      <c r="N87" s="7">
        <f t="shared" si="45"/>
        <v>1586.61</v>
      </c>
      <c r="O87" s="7">
        <f t="shared" si="46"/>
        <v>2028.78</v>
      </c>
      <c r="P87" s="7">
        <f t="shared" si="40"/>
        <v>22642.26</v>
      </c>
      <c r="Q87" s="3"/>
    </row>
    <row r="88" spans="1:17" ht="15.75">
      <c r="A88" s="1">
        <v>40016</v>
      </c>
      <c r="B88" s="17" t="s">
        <v>78</v>
      </c>
      <c r="C88" s="7">
        <f t="shared" si="41"/>
        <v>1032.44</v>
      </c>
      <c r="D88" s="7">
        <f t="shared" si="35"/>
        <v>15486.6</v>
      </c>
      <c r="E88" s="7">
        <f t="shared" si="42"/>
        <v>324.68</v>
      </c>
      <c r="F88" s="7">
        <f t="shared" si="36"/>
        <v>3896.16</v>
      </c>
      <c r="G88" s="7">
        <f>$G$11</f>
        <v>251.91</v>
      </c>
      <c r="H88" s="7">
        <f t="shared" si="37"/>
        <v>81.57</v>
      </c>
      <c r="I88" s="7">
        <f t="shared" si="38"/>
        <v>978.81</v>
      </c>
      <c r="J88" s="7">
        <f t="shared" si="43"/>
        <v>26.72</v>
      </c>
      <c r="K88" s="7">
        <f>J88*$D$10</f>
        <v>400.79999999999995</v>
      </c>
      <c r="L88" s="7">
        <f t="shared" si="44"/>
        <v>17.86</v>
      </c>
      <c r="M88" s="7">
        <f>L88*$D$10</f>
        <v>267.9</v>
      </c>
      <c r="N88" s="7">
        <f t="shared" si="45"/>
        <v>1586.61</v>
      </c>
      <c r="O88" s="7">
        <f t="shared" si="46"/>
        <v>2028.78</v>
      </c>
      <c r="P88" s="7">
        <f t="shared" si="40"/>
        <v>22642.26</v>
      </c>
      <c r="Q88" s="3"/>
    </row>
    <row r="89" spans="2:17" ht="15.75">
      <c r="B89" s="16"/>
      <c r="E89" s="3"/>
      <c r="F89" s="3"/>
      <c r="G89" s="3"/>
      <c r="P89" s="12"/>
      <c r="Q89" s="3"/>
    </row>
    <row r="90" spans="2:17" ht="15.75">
      <c r="B90" s="17" t="s">
        <v>79</v>
      </c>
      <c r="C90" s="42" t="s">
        <v>84</v>
      </c>
      <c r="D90" s="42"/>
      <c r="E90" s="43" t="s">
        <v>83</v>
      </c>
      <c r="F90" s="43"/>
      <c r="G90" s="13" t="s">
        <v>11</v>
      </c>
      <c r="H90" s="42" t="s">
        <v>85</v>
      </c>
      <c r="I90" s="42"/>
      <c r="J90" s="42" t="s">
        <v>86</v>
      </c>
      <c r="K90" s="42"/>
      <c r="L90" s="42" t="s">
        <v>92</v>
      </c>
      <c r="M90" s="42"/>
      <c r="N90" s="12" t="s">
        <v>99</v>
      </c>
      <c r="O90" s="12" t="s">
        <v>99</v>
      </c>
      <c r="P90" s="12" t="s">
        <v>1</v>
      </c>
      <c r="Q90" s="3"/>
    </row>
    <row r="91" spans="2:17" ht="15.75">
      <c r="B91" s="17" t="s">
        <v>12</v>
      </c>
      <c r="C91" s="13" t="s">
        <v>2</v>
      </c>
      <c r="D91" s="13" t="s">
        <v>1</v>
      </c>
      <c r="E91" s="13" t="s">
        <v>2</v>
      </c>
      <c r="F91" s="13" t="s">
        <v>1</v>
      </c>
      <c r="G91" s="13" t="s">
        <v>1</v>
      </c>
      <c r="H91" s="13" t="s">
        <v>2</v>
      </c>
      <c r="I91" s="13" t="s">
        <v>1</v>
      </c>
      <c r="J91" s="13" t="s">
        <v>2</v>
      </c>
      <c r="K91" s="13" t="s">
        <v>1</v>
      </c>
      <c r="L91" s="13" t="s">
        <v>2</v>
      </c>
      <c r="M91" s="13" t="s">
        <v>1</v>
      </c>
      <c r="N91" s="13" t="s">
        <v>1</v>
      </c>
      <c r="O91" s="13" t="s">
        <v>1</v>
      </c>
      <c r="P91" s="12" t="s">
        <v>0</v>
      </c>
      <c r="Q91" s="3"/>
    </row>
    <row r="92" spans="2:17" ht="15.75">
      <c r="B92" s="17"/>
      <c r="C92" s="10"/>
      <c r="D92" s="11">
        <v>15</v>
      </c>
      <c r="E92" s="10"/>
      <c r="F92" s="11">
        <v>12</v>
      </c>
      <c r="G92" s="10"/>
      <c r="H92" s="10"/>
      <c r="I92" s="11">
        <f>F92</f>
        <v>12</v>
      </c>
      <c r="J92" s="10"/>
      <c r="K92" s="11">
        <f>D92</f>
        <v>15</v>
      </c>
      <c r="L92" s="10"/>
      <c r="M92" s="11">
        <f>D92</f>
        <v>15</v>
      </c>
      <c r="N92" s="11"/>
      <c r="O92" s="11"/>
      <c r="P92" s="6"/>
      <c r="Q92" s="3"/>
    </row>
    <row r="93" spans="2:17" ht="15.75">
      <c r="B93" s="17" t="s">
        <v>80</v>
      </c>
      <c r="C93" s="24">
        <f>ROUND(948.44*$J$3,2)</f>
        <v>976.89</v>
      </c>
      <c r="D93" s="7">
        <f>C93*$D$10</f>
        <v>14653.35</v>
      </c>
      <c r="E93" s="24">
        <f>ROUND(276.72*$J$3,2)</f>
        <v>285.02</v>
      </c>
      <c r="F93" s="7">
        <f>E93*$F$10</f>
        <v>3420.24</v>
      </c>
      <c r="G93" s="7">
        <f>$G$42</f>
        <v>503.83</v>
      </c>
      <c r="H93" s="7">
        <f>$H$11</f>
        <v>81.57</v>
      </c>
      <c r="I93" s="7">
        <f>$I$11</f>
        <v>978.81</v>
      </c>
      <c r="J93" s="24">
        <f>ROUND(13.14*$J$5,2)</f>
        <v>13.4</v>
      </c>
      <c r="K93" s="7">
        <f>J93*$D$10</f>
        <v>201</v>
      </c>
      <c r="L93" s="6"/>
      <c r="M93" s="6"/>
      <c r="N93" s="7">
        <f>+$N$72</f>
        <v>1586.61</v>
      </c>
      <c r="O93" s="7">
        <f>+$O$72</f>
        <v>2028.78</v>
      </c>
      <c r="P93" s="7">
        <f>I93+G93+F93+D93</f>
        <v>19556.23</v>
      </c>
      <c r="Q93" s="3"/>
    </row>
    <row r="94" spans="2:17" ht="15.75">
      <c r="B94" s="17" t="s">
        <v>81</v>
      </c>
      <c r="C94" s="7">
        <f>C93</f>
        <v>976.89</v>
      </c>
      <c r="D94" s="7">
        <f>C94*$D$10</f>
        <v>14653.35</v>
      </c>
      <c r="E94" s="24">
        <f>ROUND(194.46*$J$3,2)</f>
        <v>200.29</v>
      </c>
      <c r="F94" s="7">
        <f>E94*$F$10</f>
        <v>2403.48</v>
      </c>
      <c r="G94" s="7">
        <f>$G$42</f>
        <v>503.83</v>
      </c>
      <c r="H94" s="7">
        <f>$H$11</f>
        <v>81.57</v>
      </c>
      <c r="I94" s="7">
        <f>$I$11</f>
        <v>978.81</v>
      </c>
      <c r="J94" s="7">
        <f>J93</f>
        <v>13.4</v>
      </c>
      <c r="K94" s="7">
        <f>J94*$D$10</f>
        <v>201</v>
      </c>
      <c r="L94" s="6"/>
      <c r="M94" s="6"/>
      <c r="N94" s="7">
        <f>+$N$72</f>
        <v>1586.61</v>
      </c>
      <c r="O94" s="7">
        <f>+$O$72</f>
        <v>2028.78</v>
      </c>
      <c r="P94" s="7">
        <f>I94+G94+F94+D94</f>
        <v>18539.47</v>
      </c>
      <c r="Q94" s="3"/>
    </row>
    <row r="95" spans="2:17" ht="15.75">
      <c r="B95" s="17" t="s">
        <v>82</v>
      </c>
      <c r="C95" s="7">
        <f>C94</f>
        <v>976.89</v>
      </c>
      <c r="D95" s="7">
        <f>C95*$D$10</f>
        <v>14653.35</v>
      </c>
      <c r="E95" s="7">
        <f>E94</f>
        <v>200.29</v>
      </c>
      <c r="F95" s="7">
        <f>E95*$F$10</f>
        <v>2403.48</v>
      </c>
      <c r="G95" s="7">
        <f>$G$42</f>
        <v>503.83</v>
      </c>
      <c r="H95" s="7">
        <f>$H$11</f>
        <v>81.57</v>
      </c>
      <c r="I95" s="7">
        <f>$I$11</f>
        <v>978.81</v>
      </c>
      <c r="J95" s="7">
        <f>J94</f>
        <v>13.4</v>
      </c>
      <c r="K95" s="7">
        <f>J95*$D$10</f>
        <v>201</v>
      </c>
      <c r="L95" s="6"/>
      <c r="M95" s="6"/>
      <c r="N95" s="7">
        <f>+$N$72</f>
        <v>1586.61</v>
      </c>
      <c r="O95" s="7">
        <f>+$O$72</f>
        <v>2028.78</v>
      </c>
      <c r="P95" s="7">
        <f>I95+G95+F95+D95</f>
        <v>18539.47</v>
      </c>
      <c r="Q95" s="3"/>
    </row>
    <row r="96" spans="2:17" ht="15.75">
      <c r="B96" s="16"/>
      <c r="Q96" s="3"/>
    </row>
    <row r="97" spans="2:17" ht="15.75">
      <c r="B97" s="16"/>
      <c r="Q97" s="3"/>
    </row>
    <row r="98" spans="2:17" ht="15.75">
      <c r="B98" s="16" t="s">
        <v>4</v>
      </c>
      <c r="C98" s="3"/>
      <c r="D98" s="3"/>
      <c r="G98" s="3"/>
      <c r="H98" s="3"/>
      <c r="Q98" s="3"/>
    </row>
    <row r="99" spans="2:17" ht="15.75">
      <c r="B99" s="16" t="s">
        <v>5</v>
      </c>
      <c r="C99" s="13" t="s">
        <v>2</v>
      </c>
      <c r="D99" s="13" t="s">
        <v>1</v>
      </c>
      <c r="G99" s="13" t="s">
        <v>2</v>
      </c>
      <c r="H99" s="13" t="s">
        <v>1</v>
      </c>
      <c r="J99" s="39" t="s">
        <v>88</v>
      </c>
      <c r="K99" s="40"/>
      <c r="L99" s="40"/>
      <c r="M99" s="40"/>
      <c r="N99" s="40"/>
      <c r="O99" s="40"/>
      <c r="P99" s="41"/>
      <c r="Q99" s="3"/>
    </row>
    <row r="100" spans="2:17" ht="15.75">
      <c r="B100" s="16"/>
      <c r="C100" s="10"/>
      <c r="D100" s="11">
        <v>12</v>
      </c>
      <c r="G100" s="10"/>
      <c r="H100" s="11">
        <v>12</v>
      </c>
      <c r="Q100" s="3"/>
    </row>
    <row r="101" spans="2:17" ht="15.75">
      <c r="B101" s="17" t="s">
        <v>6</v>
      </c>
      <c r="C101" s="24">
        <f>ROUND(475.3*$J$3,2)</f>
        <v>489.56</v>
      </c>
      <c r="D101" s="7">
        <f>C101*$D$100</f>
        <v>5874.72</v>
      </c>
      <c r="E101" s="3"/>
      <c r="F101" s="14" t="s">
        <v>87</v>
      </c>
      <c r="G101" s="24">
        <f>ROUND(139.69*$J$3,2)</f>
        <v>143.88</v>
      </c>
      <c r="H101" s="7">
        <f>G101*$D$100</f>
        <v>1726.56</v>
      </c>
      <c r="J101" s="18" t="s">
        <v>89</v>
      </c>
      <c r="K101" s="19"/>
      <c r="L101" s="19"/>
      <c r="M101" s="19"/>
      <c r="N101" s="19"/>
      <c r="O101" s="19"/>
      <c r="P101" s="24">
        <f>ROUND(33.44*$J$3,2)</f>
        <v>34.44</v>
      </c>
      <c r="Q101" s="3"/>
    </row>
    <row r="102" spans="2:16" ht="15.75">
      <c r="B102" s="17" t="s">
        <v>7</v>
      </c>
      <c r="C102" s="24">
        <f>ROUND(227.74*$J$3,2)</f>
        <v>234.57</v>
      </c>
      <c r="D102" s="7">
        <f>C102*$D$100</f>
        <v>2814.84</v>
      </c>
      <c r="E102" s="3"/>
      <c r="J102" s="15" t="s">
        <v>90</v>
      </c>
      <c r="K102" s="4"/>
      <c r="L102" s="4"/>
      <c r="M102" s="4"/>
      <c r="N102" s="4"/>
      <c r="O102" s="4"/>
      <c r="P102" s="24">
        <f>ROUND(66.89*$J$3,2)</f>
        <v>68.9</v>
      </c>
    </row>
    <row r="103" spans="2:16" ht="15.75">
      <c r="B103" s="17" t="s">
        <v>8</v>
      </c>
      <c r="C103" s="24">
        <f>ROUND(351.51*$J$3,2)</f>
        <v>362.06</v>
      </c>
      <c r="D103" s="7">
        <f>C103*$D$100</f>
        <v>4344.72</v>
      </c>
      <c r="E103" s="3"/>
      <c r="J103" s="18" t="s">
        <v>91</v>
      </c>
      <c r="K103" s="19"/>
      <c r="L103" s="19"/>
      <c r="M103" s="19"/>
      <c r="N103" s="19"/>
      <c r="O103" s="19"/>
      <c r="P103" s="24">
        <f>ROUND(80.28*$J$3,2)</f>
        <v>82.69</v>
      </c>
    </row>
    <row r="104" spans="2:5" ht="15.75">
      <c r="B104" s="17" t="s">
        <v>9</v>
      </c>
      <c r="C104" s="24">
        <f>ROUND(178.24*$J$3,2)</f>
        <v>183.59</v>
      </c>
      <c r="D104" s="7">
        <f>C104*$D$100</f>
        <v>2203.08</v>
      </c>
      <c r="E104" s="3"/>
    </row>
    <row r="106" ht="13.5">
      <c r="B106" s="38" t="s">
        <v>101</v>
      </c>
    </row>
  </sheetData>
  <mergeCells count="27">
    <mergeCell ref="L90:M90"/>
    <mergeCell ref="L39:M39"/>
    <mergeCell ref="L69:M69"/>
    <mergeCell ref="J8:K8"/>
    <mergeCell ref="L8:M8"/>
    <mergeCell ref="J22:K22"/>
    <mergeCell ref="J90:K90"/>
    <mergeCell ref="J39:K39"/>
    <mergeCell ref="J69:K69"/>
    <mergeCell ref="E3:G3"/>
    <mergeCell ref="H90:I90"/>
    <mergeCell ref="C39:D39"/>
    <mergeCell ref="E39:F39"/>
    <mergeCell ref="H8:I8"/>
    <mergeCell ref="H22:I22"/>
    <mergeCell ref="H39:I39"/>
    <mergeCell ref="H69:I69"/>
    <mergeCell ref="J99:P99"/>
    <mergeCell ref="C69:D69"/>
    <mergeCell ref="E69:F69"/>
    <mergeCell ref="E8:F8"/>
    <mergeCell ref="C8:D8"/>
    <mergeCell ref="C22:D22"/>
    <mergeCell ref="E22:F22"/>
    <mergeCell ref="L22:M22"/>
    <mergeCell ref="C90:D90"/>
    <mergeCell ref="E90:F90"/>
  </mergeCells>
  <printOptions horizontalCentered="1"/>
  <pageMargins left="0.1968503937007874" right="0.1968503937007874" top="0.34" bottom="0.39" header="0" footer="0"/>
  <pageSetup fitToHeight="3" horizontalDpi="600" verticalDpi="600" orientation="landscape" paperSize="9" scale="77" r:id="rId3"/>
  <rowBreaks count="2" manualBreakCount="2">
    <brk id="37" min="1" max="15" man="1"/>
    <brk id="67" min="1" max="15" man="1"/>
  </rowBreaks>
  <ignoredErrors>
    <ignoredError sqref="D27:D31 D32:D35 D73:D76 D7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</dc:creator>
  <cp:keywords/>
  <dc:description/>
  <cp:lastModifiedBy>FETE</cp:lastModifiedBy>
  <cp:lastPrinted>2008-12-02T11:02:47Z</cp:lastPrinted>
  <dcterms:created xsi:type="dcterms:W3CDTF">2003-06-10T13:10:14Z</dcterms:created>
  <dcterms:modified xsi:type="dcterms:W3CDTF">2009-01-14T11:18:50Z</dcterms:modified>
  <cp:category/>
  <cp:version/>
  <cp:contentType/>
  <cp:contentStatus/>
</cp:coreProperties>
</file>