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276" windowHeight="8100" firstSheet="8" activeTab="15"/>
  </bookViews>
  <sheets>
    <sheet name="Empresas" sheetId="5" r:id="rId1"/>
    <sheet name="Lote 1" sheetId="11" r:id="rId2"/>
    <sheet name="Lote 1 - Items" sheetId="10" r:id="rId3"/>
    <sheet name="Lote 2" sheetId="9" r:id="rId4"/>
    <sheet name="Lote 2 - Items" sheetId="12" r:id="rId5"/>
    <sheet name="Lote 3" sheetId="14" r:id="rId6"/>
    <sheet name="Lote 3 - Items" sheetId="15" r:id="rId7"/>
    <sheet name="Lote 4" sheetId="17" r:id="rId8"/>
    <sheet name="Lote 4 - Items" sheetId="18" r:id="rId9"/>
    <sheet name="Lote 5" sheetId="20" r:id="rId10"/>
    <sheet name="Lote 5 - Items" sheetId="19" r:id="rId11"/>
    <sheet name="Lote 6" sheetId="21" r:id="rId12"/>
    <sheet name="Lote 6 - Items" sheetId="22" r:id="rId13"/>
    <sheet name="Tablas" sheetId="13" r:id="rId14"/>
    <sheet name="Valoración" sheetId="28" r:id="rId15"/>
    <sheet name="Mejoras y Puntos Totales" sheetId="29" r:id="rId16"/>
    <sheet name="Muestras" sheetId="24" r:id="rId17"/>
    <sheet name="Hoja1" sheetId="23" r:id="rId18"/>
    <sheet name="Hoja2" sheetId="25" r:id="rId19"/>
    <sheet name="Hoja3" sheetId="30" r:id="rId20"/>
  </sheets>
  <externalReferences>
    <externalReference r:id="rId21"/>
  </externalReferences>
  <definedNames>
    <definedName name="OLE_LINK1" localSheetId="6">'Lote 3 - Items'!#REF!</definedName>
    <definedName name="Print_Area" localSheetId="8">'Lote 4 - Items'!$A$1:$I$309</definedName>
    <definedName name="Print_Area" localSheetId="13">Tablas!$A$6:$D$50</definedName>
  </definedNames>
  <calcPr calcId="145621"/>
</workbook>
</file>

<file path=xl/calcChain.xml><?xml version="1.0" encoding="utf-8"?>
<calcChain xmlns="http://schemas.openxmlformats.org/spreadsheetml/2006/main">
  <c r="C99" i="5" l="1"/>
  <c r="B46" i="15"/>
  <c r="B73" i="15"/>
  <c r="B145" i="15"/>
  <c r="C83" i="30"/>
  <c r="C84" i="30"/>
  <c r="C85" i="30"/>
  <c r="C86" i="30"/>
  <c r="C87" i="30"/>
  <c r="C88" i="30"/>
  <c r="C89" i="30"/>
  <c r="C90" i="30"/>
  <c r="C82" i="30"/>
  <c r="B83" i="30"/>
  <c r="B84" i="30"/>
  <c r="B85" i="30"/>
  <c r="B86" i="30"/>
  <c r="B87" i="30"/>
  <c r="B88" i="30"/>
  <c r="B89" i="30"/>
  <c r="B90" i="30"/>
  <c r="B82" i="30"/>
  <c r="C72" i="30"/>
  <c r="C73" i="30"/>
  <c r="C74" i="30"/>
  <c r="C71" i="30"/>
  <c r="B72" i="30"/>
  <c r="B73" i="30"/>
  <c r="B74" i="30"/>
  <c r="B71" i="30"/>
  <c r="C58" i="30"/>
  <c r="C59" i="30"/>
  <c r="C60" i="30"/>
  <c r="C61" i="30"/>
  <c r="C62" i="30"/>
  <c r="C63" i="30"/>
  <c r="C57" i="30"/>
  <c r="B58" i="30"/>
  <c r="B59" i="30"/>
  <c r="B60" i="30"/>
  <c r="B61" i="30"/>
  <c r="B62" i="30"/>
  <c r="B63" i="30"/>
  <c r="B57" i="30"/>
  <c r="C46" i="30"/>
  <c r="C47" i="30"/>
  <c r="C48" i="30"/>
  <c r="C45" i="30"/>
  <c r="B46" i="30"/>
  <c r="B47" i="30"/>
  <c r="B48" i="30"/>
  <c r="B45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21" i="30"/>
  <c r="C6" i="30"/>
  <c r="C7" i="30"/>
  <c r="C8" i="30"/>
  <c r="C9" i="30"/>
  <c r="C10" i="30"/>
  <c r="C11" i="30"/>
  <c r="C5" i="30"/>
  <c r="B6" i="30"/>
  <c r="B7" i="30"/>
  <c r="B8" i="30"/>
  <c r="B9" i="30"/>
  <c r="B10" i="30"/>
  <c r="B11" i="30"/>
  <c r="B5" i="30"/>
  <c r="C36" i="30"/>
  <c r="E25" i="30" l="1"/>
  <c r="E30" i="30"/>
  <c r="E34" i="30"/>
  <c r="E36" i="30"/>
  <c r="E43" i="30"/>
  <c r="E44" i="30"/>
  <c r="D47" i="30"/>
  <c r="E47" i="30"/>
  <c r="E49" i="30"/>
  <c r="E58" i="30"/>
  <c r="D60" i="30"/>
  <c r="E60" i="30"/>
  <c r="D61" i="30"/>
  <c r="E61" i="30"/>
  <c r="D62" i="30"/>
  <c r="E62" i="30"/>
  <c r="D72" i="30"/>
  <c r="E72" i="30"/>
  <c r="A82" i="30"/>
  <c r="A83" i="30"/>
  <c r="A84" i="30"/>
  <c r="A85" i="30"/>
  <c r="A86" i="30"/>
  <c r="A87" i="30"/>
  <c r="A88" i="30"/>
  <c r="A89" i="30"/>
  <c r="A90" i="30"/>
  <c r="A73" i="30"/>
  <c r="A74" i="30"/>
  <c r="A78" i="30"/>
  <c r="A80" i="30"/>
  <c r="A2" i="30"/>
  <c r="A3" i="30"/>
  <c r="A4" i="30"/>
  <c r="A5" i="30"/>
  <c r="A6" i="30"/>
  <c r="A7" i="30"/>
  <c r="A8" i="30"/>
  <c r="A9" i="30"/>
  <c r="A10" i="30"/>
  <c r="A11" i="30"/>
  <c r="A15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9" i="30"/>
  <c r="A41" i="30"/>
  <c r="A43" i="30"/>
  <c r="B43" i="30" s="1"/>
  <c r="A44" i="30"/>
  <c r="B44" i="30" s="1"/>
  <c r="A45" i="30"/>
  <c r="A46" i="30"/>
  <c r="A47" i="30"/>
  <c r="A48" i="30"/>
  <c r="A49" i="30"/>
  <c r="B49" i="30" s="1"/>
  <c r="A53" i="30"/>
  <c r="A55" i="30"/>
  <c r="A57" i="30"/>
  <c r="A58" i="30"/>
  <c r="A59" i="30"/>
  <c r="A60" i="30"/>
  <c r="A61" i="30"/>
  <c r="A62" i="30"/>
  <c r="A63" i="30"/>
  <c r="A67" i="30"/>
  <c r="A69" i="30"/>
  <c r="A71" i="30"/>
  <c r="A72" i="30"/>
  <c r="A1" i="30"/>
  <c r="I45" i="21"/>
  <c r="F45" i="21"/>
  <c r="C45" i="20"/>
  <c r="I45" i="20"/>
  <c r="F45" i="20"/>
  <c r="I53" i="17"/>
  <c r="F53" i="17"/>
  <c r="I53" i="14"/>
  <c r="F53" i="14"/>
  <c r="F28" i="11"/>
  <c r="H28" i="11"/>
  <c r="J28" i="11"/>
  <c r="I61" i="9"/>
  <c r="F61" i="9"/>
  <c r="I114" i="15" l="1"/>
  <c r="G114" i="15"/>
  <c r="E114" i="15"/>
  <c r="B116" i="15"/>
  <c r="C88" i="15"/>
  <c r="C83" i="15"/>
  <c r="B61" i="5"/>
  <c r="C56" i="5"/>
  <c r="C58" i="5"/>
  <c r="C83" i="5"/>
  <c r="C84" i="5"/>
  <c r="C82" i="5"/>
  <c r="AK170" i="12"/>
  <c r="AK167" i="12"/>
  <c r="AG170" i="12"/>
  <c r="AG167" i="12"/>
  <c r="AE170" i="12"/>
  <c r="AE167" i="12"/>
  <c r="AC170" i="12"/>
  <c r="Y170" i="12"/>
  <c r="Y167" i="12"/>
  <c r="W170" i="12"/>
  <c r="U170" i="12"/>
  <c r="S170" i="12"/>
  <c r="S167" i="12"/>
  <c r="O170" i="12"/>
  <c r="O167" i="12"/>
  <c r="M170" i="12"/>
  <c r="M167" i="12"/>
  <c r="AK129" i="12"/>
  <c r="AG129" i="12"/>
  <c r="AE129" i="12"/>
  <c r="O129" i="12"/>
  <c r="M129" i="12"/>
  <c r="AK126" i="12"/>
  <c r="AG126" i="12"/>
  <c r="AE126" i="12"/>
  <c r="Y126" i="12"/>
  <c r="S126" i="12"/>
  <c r="O126" i="12"/>
  <c r="M126" i="12"/>
  <c r="AK20" i="12"/>
  <c r="AG20" i="12"/>
  <c r="AE20" i="12"/>
  <c r="Y20" i="12"/>
  <c r="W20" i="12"/>
  <c r="S20" i="12"/>
  <c r="AK23" i="12"/>
  <c r="AG23" i="12"/>
  <c r="AE23" i="12"/>
  <c r="W23" i="12"/>
  <c r="S23" i="12"/>
  <c r="F68" i="5"/>
  <c r="C43" i="5"/>
  <c r="C42" i="5"/>
  <c r="C185" i="18"/>
  <c r="C183" i="18"/>
  <c r="C177" i="18"/>
  <c r="C180" i="18"/>
  <c r="I276" i="18"/>
  <c r="E276" i="18"/>
  <c r="G273" i="18"/>
  <c r="E273" i="18"/>
  <c r="C231" i="18"/>
  <c r="C234" i="18"/>
  <c r="C216" i="18"/>
  <c r="I228" i="18"/>
  <c r="G228" i="18"/>
  <c r="E228" i="18"/>
  <c r="I225" i="18"/>
  <c r="E225" i="18"/>
  <c r="I222" i="18"/>
  <c r="G222" i="18"/>
  <c r="E222" i="18"/>
  <c r="I192" i="18"/>
  <c r="G192" i="18"/>
  <c r="E192" i="18"/>
  <c r="I100" i="18"/>
  <c r="E100" i="18"/>
  <c r="I84" i="18"/>
  <c r="G84" i="18"/>
  <c r="E84" i="18"/>
  <c r="I81" i="18"/>
  <c r="G81" i="18"/>
  <c r="E81" i="18"/>
  <c r="C57" i="18"/>
  <c r="C55" i="18"/>
  <c r="B28" i="18"/>
  <c r="B48" i="18"/>
  <c r="B68" i="18"/>
  <c r="I65" i="18"/>
  <c r="G65" i="18"/>
  <c r="C65" i="18"/>
  <c r="E65" i="18" s="1"/>
  <c r="I60" i="18"/>
  <c r="G60" i="18"/>
  <c r="E60" i="18"/>
  <c r="C60" i="18"/>
  <c r="I32" i="18"/>
  <c r="G32" i="18"/>
  <c r="C32" i="18"/>
  <c r="E32" i="18" s="1"/>
  <c r="I21" i="18"/>
  <c r="G21" i="18"/>
  <c r="G23" i="18"/>
  <c r="E23" i="18"/>
  <c r="C23" i="18"/>
  <c r="I23" i="18" s="1"/>
  <c r="E21" i="18"/>
  <c r="C26" i="18"/>
  <c r="E26" i="18" s="1"/>
  <c r="I19" i="18"/>
  <c r="G19" i="18"/>
  <c r="E19" i="18"/>
  <c r="E4" i="18"/>
  <c r="E88" i="19"/>
  <c r="I83" i="19"/>
  <c r="I81" i="19"/>
  <c r="G81" i="19"/>
  <c r="C40" i="21"/>
  <c r="C57" i="22"/>
  <c r="U39" i="22"/>
  <c r="S39" i="22"/>
  <c r="Q39" i="22"/>
  <c r="O39" i="22"/>
  <c r="M39" i="22"/>
  <c r="K39" i="22"/>
  <c r="E39" i="22"/>
  <c r="G39" i="22"/>
  <c r="H39" i="22" s="1"/>
  <c r="C39" i="21"/>
  <c r="C38" i="21"/>
  <c r="U60" i="22"/>
  <c r="S60" i="22"/>
  <c r="Q60" i="22"/>
  <c r="O60" i="22"/>
  <c r="M60" i="22"/>
  <c r="K60" i="22"/>
  <c r="I60" i="22"/>
  <c r="G60" i="22"/>
  <c r="E60" i="22"/>
  <c r="N45" i="22"/>
  <c r="U51" i="22"/>
  <c r="C37" i="21"/>
  <c r="C45" i="21" s="1"/>
  <c r="B63" i="22"/>
  <c r="I97" i="19"/>
  <c r="G97" i="19"/>
  <c r="E97" i="19"/>
  <c r="I48" i="19"/>
  <c r="J27" i="29"/>
  <c r="H27" i="29"/>
  <c r="F27" i="29"/>
  <c r="B20" i="29"/>
  <c r="D17" i="29" s="1"/>
  <c r="C141" i="28"/>
  <c r="I128" i="28"/>
  <c r="I141" i="28" s="1"/>
  <c r="J29" i="29" s="1"/>
  <c r="J31" i="29" s="1"/>
  <c r="H107" i="19" s="1"/>
  <c r="G128" i="28"/>
  <c r="G141" i="28" s="1"/>
  <c r="H29" i="29" s="1"/>
  <c r="H31" i="29" s="1"/>
  <c r="D107" i="19" s="1"/>
  <c r="E128" i="28"/>
  <c r="E141" i="28" s="1"/>
  <c r="F29" i="29" s="1"/>
  <c r="F31" i="29" s="1"/>
  <c r="F107" i="19" s="1"/>
  <c r="L3" i="28"/>
  <c r="F2" i="22"/>
  <c r="O27" i="22"/>
  <c r="K27" i="22"/>
  <c r="B29" i="22"/>
  <c r="C27" i="22"/>
  <c r="G27" i="22" s="1"/>
  <c r="U14" i="22"/>
  <c r="S10" i="22"/>
  <c r="Q14" i="22"/>
  <c r="Q10" i="22"/>
  <c r="O14" i="22"/>
  <c r="O10" i="22"/>
  <c r="K14" i="22"/>
  <c r="K12" i="22"/>
  <c r="K10" i="22"/>
  <c r="E10" i="22"/>
  <c r="C4" i="22"/>
  <c r="C7" i="22"/>
  <c r="C22" i="22"/>
  <c r="C16" i="22"/>
  <c r="C14" i="22"/>
  <c r="G14" i="22" s="1"/>
  <c r="C12" i="22"/>
  <c r="O12" i="22" s="1"/>
  <c r="C10" i="22"/>
  <c r="G10" i="22" s="1"/>
  <c r="C25" i="22"/>
  <c r="B44" i="21"/>
  <c r="B37" i="21"/>
  <c r="B38" i="21"/>
  <c r="B39" i="21"/>
  <c r="B40" i="21"/>
  <c r="B41" i="21"/>
  <c r="B42" i="21"/>
  <c r="B43" i="21"/>
  <c r="B36" i="21"/>
  <c r="F17" i="21"/>
  <c r="C17" i="21"/>
  <c r="B21" i="21"/>
  <c r="B22" i="21"/>
  <c r="B23" i="21"/>
  <c r="B24" i="21"/>
  <c r="B25" i="21"/>
  <c r="B26" i="21"/>
  <c r="B27" i="21"/>
  <c r="B28" i="21"/>
  <c r="B20" i="21"/>
  <c r="E14" i="22" l="1"/>
  <c r="M14" i="22"/>
  <c r="D15" i="29"/>
  <c r="D11" i="29"/>
  <c r="D7" i="29"/>
  <c r="G26" i="18"/>
  <c r="I26" i="18"/>
  <c r="S14" i="22"/>
  <c r="E12" i="22"/>
  <c r="S27" i="22"/>
  <c r="S12" i="22"/>
  <c r="I27" i="22"/>
  <c r="Q27" i="22"/>
  <c r="I12" i="22"/>
  <c r="U10" i="22"/>
  <c r="M27" i="22"/>
  <c r="U27" i="22"/>
  <c r="Q12" i="22"/>
  <c r="M12" i="22"/>
  <c r="I14" i="22"/>
  <c r="M10" i="22"/>
  <c r="U12" i="22"/>
  <c r="E27" i="22"/>
  <c r="I10" i="22"/>
  <c r="G12" i="22"/>
  <c r="D8" i="29"/>
  <c r="D12" i="29"/>
  <c r="D16" i="29"/>
  <c r="D6" i="29"/>
  <c r="D10" i="29"/>
  <c r="D14" i="29"/>
  <c r="D18" i="29"/>
  <c r="D9" i="29"/>
  <c r="D13" i="29"/>
  <c r="E51" i="19"/>
  <c r="G101" i="19" l="1"/>
  <c r="E101" i="19"/>
  <c r="I101" i="19"/>
  <c r="I41" i="19"/>
  <c r="C41" i="19"/>
  <c r="G41" i="19" s="1"/>
  <c r="I18" i="19"/>
  <c r="I71" i="19"/>
  <c r="E71" i="19"/>
  <c r="I75" i="19"/>
  <c r="E75" i="19"/>
  <c r="I78" i="19"/>
  <c r="E78" i="19"/>
  <c r="I51" i="19"/>
  <c r="I32" i="19"/>
  <c r="E32" i="19"/>
  <c r="C32" i="19"/>
  <c r="G32" i="19" s="1"/>
  <c r="I38" i="19"/>
  <c r="E38" i="19"/>
  <c r="C38" i="19"/>
  <c r="G38" i="19" s="1"/>
  <c r="I35" i="19"/>
  <c r="E35" i="19"/>
  <c r="I100" i="19"/>
  <c r="G100" i="19"/>
  <c r="E100" i="19"/>
  <c r="C94" i="19"/>
  <c r="G94" i="19" s="1"/>
  <c r="C91" i="19"/>
  <c r="G91" i="19" s="1"/>
  <c r="C88" i="19"/>
  <c r="G88" i="19" s="1"/>
  <c r="C85" i="19"/>
  <c r="C83" i="19"/>
  <c r="C81" i="19"/>
  <c r="E81" i="19" s="1"/>
  <c r="C78" i="19"/>
  <c r="G78" i="19" s="1"/>
  <c r="C75" i="19"/>
  <c r="G75" i="19" s="1"/>
  <c r="C71" i="19"/>
  <c r="G71" i="19" s="1"/>
  <c r="I94" i="19"/>
  <c r="E94" i="19"/>
  <c r="I91" i="19"/>
  <c r="I88" i="19"/>
  <c r="I85" i="19"/>
  <c r="G85" i="19"/>
  <c r="E85" i="19"/>
  <c r="C73" i="19"/>
  <c r="G73" i="19" s="1"/>
  <c r="I73" i="19"/>
  <c r="E73" i="19"/>
  <c r="I57" i="19"/>
  <c r="G57" i="19"/>
  <c r="I60" i="19"/>
  <c r="G60" i="19"/>
  <c r="I54" i="19"/>
  <c r="E54" i="19"/>
  <c r="I105" i="15"/>
  <c r="G105" i="15"/>
  <c r="E105" i="15"/>
  <c r="I57" i="15"/>
  <c r="E57" i="15"/>
  <c r="G57" i="15"/>
  <c r="C69" i="15"/>
  <c r="I56" i="15"/>
  <c r="G56" i="15"/>
  <c r="E56" i="15"/>
  <c r="I55" i="15"/>
  <c r="G55" i="15"/>
  <c r="E55" i="15"/>
  <c r="I63" i="19"/>
  <c r="E63" i="19"/>
  <c r="C60" i="19"/>
  <c r="E60" i="19" s="1"/>
  <c r="C54" i="19"/>
  <c r="G54" i="19" s="1"/>
  <c r="C63" i="19"/>
  <c r="G63" i="19" s="1"/>
  <c r="C57" i="19"/>
  <c r="E57" i="19" s="1"/>
  <c r="C51" i="19"/>
  <c r="G51" i="19" s="1"/>
  <c r="C48" i="19"/>
  <c r="C35" i="19"/>
  <c r="G35" i="19" s="1"/>
  <c r="C24" i="19"/>
  <c r="E24" i="19" s="1"/>
  <c r="C22" i="19"/>
  <c r="C15" i="19"/>
  <c r="G15" i="19" s="1"/>
  <c r="C18" i="19"/>
  <c r="G18" i="19" s="1"/>
  <c r="C11" i="19"/>
  <c r="C8" i="19"/>
  <c r="C6" i="19"/>
  <c r="I24" i="19"/>
  <c r="G24" i="19"/>
  <c r="I15" i="19"/>
  <c r="E15" i="19"/>
  <c r="B102" i="19"/>
  <c r="B66" i="19"/>
  <c r="B26" i="19"/>
  <c r="D12" i="20"/>
  <c r="E12" i="20" s="1"/>
  <c r="F12" i="20" s="1"/>
  <c r="E10" i="20"/>
  <c r="F10" i="20" s="1"/>
  <c r="E11" i="20"/>
  <c r="F11" i="20" s="1"/>
  <c r="E13" i="20"/>
  <c r="F13" i="20" s="1"/>
  <c r="E14" i="20"/>
  <c r="F14" i="20" s="1"/>
  <c r="E15" i="20"/>
  <c r="F15" i="20" s="1"/>
  <c r="E16" i="20"/>
  <c r="F16" i="20" s="1"/>
  <c r="E17" i="20"/>
  <c r="F17" i="20" s="1"/>
  <c r="E9" i="20"/>
  <c r="F9" i="20" s="1"/>
  <c r="C50" i="17"/>
  <c r="C53" i="17" s="1"/>
  <c r="A27" i="20"/>
  <c r="B27" i="20"/>
  <c r="A28" i="20"/>
  <c r="B28" i="20"/>
  <c r="A29" i="20"/>
  <c r="B29" i="20"/>
  <c r="A30" i="20"/>
  <c r="B30" i="20"/>
  <c r="A31" i="20"/>
  <c r="B31" i="20"/>
  <c r="A32" i="20"/>
  <c r="B32" i="20"/>
  <c r="A33" i="20"/>
  <c r="B33" i="20"/>
  <c r="A34" i="20"/>
  <c r="B34" i="20"/>
  <c r="B26" i="20"/>
  <c r="A26" i="20"/>
  <c r="K23" i="20"/>
  <c r="B44" i="20" s="1"/>
  <c r="G23" i="20"/>
  <c r="B43" i="20" s="1"/>
  <c r="C23" i="20"/>
  <c r="B42" i="20" s="1"/>
  <c r="F5" i="20"/>
  <c r="E18" i="20" s="1"/>
  <c r="F18" i="20" s="1"/>
  <c r="A5" i="20"/>
  <c r="E298" i="18"/>
  <c r="I264" i="18"/>
  <c r="E264" i="18"/>
  <c r="C161" i="18"/>
  <c r="C159" i="18"/>
  <c r="I167" i="18"/>
  <c r="E216" i="18"/>
  <c r="G216" i="18"/>
  <c r="I216" i="18"/>
  <c r="I213" i="18"/>
  <c r="G213" i="18"/>
  <c r="E213" i="18"/>
  <c r="I185" i="18"/>
  <c r="G185" i="18"/>
  <c r="E185" i="18"/>
  <c r="I180" i="18"/>
  <c r="G180" i="18"/>
  <c r="I159" i="18"/>
  <c r="G159" i="18"/>
  <c r="E159" i="18"/>
  <c r="C155" i="18"/>
  <c r="I37" i="18"/>
  <c r="E37" i="18"/>
  <c r="I7" i="18"/>
  <c r="E7" i="18"/>
  <c r="E10" i="18"/>
  <c r="C10" i="18"/>
  <c r="G10" i="18" s="1"/>
  <c r="C298" i="18"/>
  <c r="G298" i="18" s="1"/>
  <c r="C292" i="18"/>
  <c r="G292" i="18" s="1"/>
  <c r="C289" i="18"/>
  <c r="G289" i="18" s="1"/>
  <c r="C286" i="18"/>
  <c r="G286" i="18" s="1"/>
  <c r="C283" i="18"/>
  <c r="G283" i="18" s="1"/>
  <c r="E289" i="18"/>
  <c r="C295" i="18"/>
  <c r="E295" i="18" s="1"/>
  <c r="I292" i="18"/>
  <c r="E292" i="18"/>
  <c r="I267" i="18"/>
  <c r="E267" i="18"/>
  <c r="C264" i="18"/>
  <c r="G264" i="18" s="1"/>
  <c r="C261" i="18"/>
  <c r="G261" i="18" s="1"/>
  <c r="I270" i="18"/>
  <c r="G270" i="18"/>
  <c r="E270" i="18"/>
  <c r="I261" i="18"/>
  <c r="E261" i="18"/>
  <c r="C276" i="18"/>
  <c r="G276" i="18" s="1"/>
  <c r="C273" i="18"/>
  <c r="I273" i="18" s="1"/>
  <c r="C267" i="18"/>
  <c r="G267" i="18" s="1"/>
  <c r="E246" i="18"/>
  <c r="I246" i="18"/>
  <c r="C255" i="18"/>
  <c r="G255" i="18" s="1"/>
  <c r="C252" i="18"/>
  <c r="E252" i="18" s="1"/>
  <c r="C249" i="18"/>
  <c r="C246" i="18"/>
  <c r="G246" i="18" s="1"/>
  <c r="C243" i="18"/>
  <c r="E243" i="18" s="1"/>
  <c r="C240" i="18"/>
  <c r="E240" i="18" s="1"/>
  <c r="I243" i="18"/>
  <c r="G243" i="18"/>
  <c r="I240" i="18"/>
  <c r="G240" i="18"/>
  <c r="I249" i="18"/>
  <c r="G249" i="18"/>
  <c r="E249" i="18"/>
  <c r="I255" i="18"/>
  <c r="E255" i="18"/>
  <c r="I234" i="18"/>
  <c r="G234" i="18"/>
  <c r="E234" i="18"/>
  <c r="I231" i="18"/>
  <c r="G231" i="18"/>
  <c r="E231" i="18"/>
  <c r="C225" i="18"/>
  <c r="G225" i="18" s="1"/>
  <c r="I219" i="18"/>
  <c r="G219" i="18"/>
  <c r="C219" i="18"/>
  <c r="E219" i="18" s="1"/>
  <c r="C206" i="18"/>
  <c r="G206" i="18" s="1"/>
  <c r="E202" i="18"/>
  <c r="C204" i="18"/>
  <c r="E204" i="18" s="1"/>
  <c r="C202" i="18"/>
  <c r="G202" i="18" s="1"/>
  <c r="C200" i="18"/>
  <c r="G200" i="18" s="1"/>
  <c r="C198" i="18"/>
  <c r="E198" i="18" s="1"/>
  <c r="C195" i="18"/>
  <c r="G195" i="18" s="1"/>
  <c r="C192" i="18"/>
  <c r="E200" i="18"/>
  <c r="E195" i="18"/>
  <c r="E180" i="18"/>
  <c r="I177" i="18"/>
  <c r="G177" i="18"/>
  <c r="E177" i="18"/>
  <c r="I173" i="18"/>
  <c r="G173" i="18"/>
  <c r="E173" i="18"/>
  <c r="C173" i="18"/>
  <c r="E164" i="18"/>
  <c r="C164" i="18"/>
  <c r="I164" i="18" s="1"/>
  <c r="C167" i="18"/>
  <c r="G167" i="18" s="1"/>
  <c r="C145" i="18"/>
  <c r="E145" i="18" s="1"/>
  <c r="C142" i="18"/>
  <c r="C139" i="18"/>
  <c r="C136" i="18"/>
  <c r="C132" i="18"/>
  <c r="I147" i="18"/>
  <c r="G147" i="18"/>
  <c r="E147" i="18"/>
  <c r="I132" i="18"/>
  <c r="G132" i="18"/>
  <c r="E132" i="18"/>
  <c r="G142" i="18"/>
  <c r="I136" i="18"/>
  <c r="E136" i="18"/>
  <c r="G136" i="18"/>
  <c r="C124" i="18"/>
  <c r="G124" i="18" s="1"/>
  <c r="C126" i="18"/>
  <c r="E126" i="18" s="1"/>
  <c r="C120" i="18"/>
  <c r="G120" i="18" s="1"/>
  <c r="C118" i="18"/>
  <c r="G118" i="18" s="1"/>
  <c r="I110" i="18"/>
  <c r="E110" i="18"/>
  <c r="C110" i="18"/>
  <c r="G110" i="18" s="1"/>
  <c r="E41" i="19" l="1"/>
  <c r="G83" i="19"/>
  <c r="E83" i="19"/>
  <c r="I252" i="18"/>
  <c r="I286" i="18"/>
  <c r="E286" i="18"/>
  <c r="I289" i="18"/>
  <c r="I298" i="18"/>
  <c r="E48" i="19"/>
  <c r="G48" i="19"/>
  <c r="E91" i="19"/>
  <c r="E6" i="19"/>
  <c r="G6" i="19"/>
  <c r="I6" i="19"/>
  <c r="E20" i="20"/>
  <c r="F20" i="20" s="1"/>
  <c r="E19" i="20"/>
  <c r="F19" i="20" s="1"/>
  <c r="I195" i="18"/>
  <c r="G204" i="18"/>
  <c r="I283" i="18"/>
  <c r="I295" i="18"/>
  <c r="I198" i="18"/>
  <c r="I10" i="18"/>
  <c r="I200" i="18"/>
  <c r="G145" i="18"/>
  <c r="E206" i="18"/>
  <c r="G164" i="18"/>
  <c r="I206" i="18"/>
  <c r="E167" i="18"/>
  <c r="I145" i="18"/>
  <c r="I204" i="18"/>
  <c r="I126" i="18"/>
  <c r="G126" i="18"/>
  <c r="I202" i="18"/>
  <c r="E283" i="18"/>
  <c r="I118" i="18"/>
  <c r="I124" i="18"/>
  <c r="I120" i="18"/>
  <c r="G295" i="18"/>
  <c r="G252" i="18"/>
  <c r="G198" i="18"/>
  <c r="E124" i="18"/>
  <c r="E120" i="18"/>
  <c r="E118" i="18"/>
  <c r="I108" i="15"/>
  <c r="C122" i="18"/>
  <c r="I122" i="18" s="1"/>
  <c r="C116" i="18"/>
  <c r="G116" i="18" s="1"/>
  <c r="C114" i="18"/>
  <c r="E114" i="18" s="1"/>
  <c r="C112" i="18"/>
  <c r="B128" i="18"/>
  <c r="I75" i="18"/>
  <c r="G75" i="18"/>
  <c r="E75" i="18"/>
  <c r="C72" i="18"/>
  <c r="I16" i="18"/>
  <c r="G16" i="18"/>
  <c r="E16" i="18"/>
  <c r="I62" i="18"/>
  <c r="E62" i="18"/>
  <c r="I57" i="18"/>
  <c r="G57" i="18"/>
  <c r="E57" i="18"/>
  <c r="I52" i="18"/>
  <c r="G52" i="18"/>
  <c r="E52" i="18"/>
  <c r="C52" i="18"/>
  <c r="C62" i="18"/>
  <c r="G62" i="18" s="1"/>
  <c r="G35" i="18"/>
  <c r="E35" i="18"/>
  <c r="C46" i="18"/>
  <c r="C43" i="18"/>
  <c r="E43" i="18" s="1"/>
  <c r="C40" i="18"/>
  <c r="E40" i="18" s="1"/>
  <c r="C37" i="18"/>
  <c r="G37" i="18" s="1"/>
  <c r="C35" i="18"/>
  <c r="I35" i="18" s="1"/>
  <c r="C13" i="18"/>
  <c r="G13" i="18" s="1"/>
  <c r="C7" i="18"/>
  <c r="G7" i="18" s="1"/>
  <c r="C4" i="18"/>
  <c r="B300" i="18"/>
  <c r="H281" i="18"/>
  <c r="F281" i="18"/>
  <c r="D281" i="18"/>
  <c r="B279" i="18"/>
  <c r="H259" i="18"/>
  <c r="F259" i="18"/>
  <c r="D259" i="18"/>
  <c r="H238" i="18"/>
  <c r="F238" i="18"/>
  <c r="D238" i="18"/>
  <c r="B257" i="18"/>
  <c r="B236" i="18"/>
  <c r="H211" i="18"/>
  <c r="F211" i="18"/>
  <c r="D211" i="18"/>
  <c r="H190" i="18"/>
  <c r="F190" i="18"/>
  <c r="D190" i="18"/>
  <c r="B209" i="18"/>
  <c r="B188" i="18"/>
  <c r="F171" i="18"/>
  <c r="B169" i="18"/>
  <c r="I161" i="18"/>
  <c r="I155" i="18"/>
  <c r="G161" i="18"/>
  <c r="G155" i="18"/>
  <c r="B151" i="18"/>
  <c r="I142" i="18"/>
  <c r="I139" i="18"/>
  <c r="G139" i="18"/>
  <c r="I116" i="18"/>
  <c r="I112" i="18"/>
  <c r="I106" i="18"/>
  <c r="G112" i="18"/>
  <c r="G106" i="18"/>
  <c r="B102" i="18"/>
  <c r="I97" i="18"/>
  <c r="I94" i="18"/>
  <c r="I91" i="18"/>
  <c r="I89" i="18"/>
  <c r="I87" i="18"/>
  <c r="I78" i="18"/>
  <c r="I72" i="18"/>
  <c r="G97" i="18"/>
  <c r="G94" i="18"/>
  <c r="G78" i="18"/>
  <c r="G72" i="18"/>
  <c r="H50" i="18"/>
  <c r="F50" i="18"/>
  <c r="D50" i="18"/>
  <c r="K26" i="17"/>
  <c r="B52" i="17" s="1"/>
  <c r="H2" i="18"/>
  <c r="G26" i="17"/>
  <c r="B51" i="17" s="1"/>
  <c r="F2" i="18"/>
  <c r="C26" i="17"/>
  <c r="B50" i="17" s="1"/>
  <c r="D2" i="18"/>
  <c r="I143" i="15"/>
  <c r="G143" i="15"/>
  <c r="E143" i="15"/>
  <c r="I41" i="15"/>
  <c r="G41" i="15"/>
  <c r="E41" i="15"/>
  <c r="I37" i="15"/>
  <c r="G37" i="15"/>
  <c r="E37" i="15"/>
  <c r="I94" i="15"/>
  <c r="G94" i="15"/>
  <c r="E94" i="15"/>
  <c r="I122" i="15"/>
  <c r="G122" i="15"/>
  <c r="E122" i="15"/>
  <c r="C142" i="15"/>
  <c r="I142" i="15" s="1"/>
  <c r="C139" i="15"/>
  <c r="C136" i="15"/>
  <c r="C133" i="15"/>
  <c r="C128" i="15"/>
  <c r="C125" i="15"/>
  <c r="C122" i="15"/>
  <c r="G142" i="15"/>
  <c r="E142" i="15"/>
  <c r="I23" i="15"/>
  <c r="I26" i="15"/>
  <c r="G26" i="15"/>
  <c r="I15" i="15"/>
  <c r="G15" i="15"/>
  <c r="I36" i="15"/>
  <c r="G36" i="15"/>
  <c r="E36" i="15"/>
  <c r="C31" i="15"/>
  <c r="C29" i="15"/>
  <c r="C26" i="15"/>
  <c r="E26" i="15" s="1"/>
  <c r="C23" i="15"/>
  <c r="G23" i="15" s="1"/>
  <c r="C15" i="15"/>
  <c r="E15" i="15" s="1"/>
  <c r="C52" i="14"/>
  <c r="C53" i="14" s="1"/>
  <c r="B52" i="14"/>
  <c r="B51" i="14"/>
  <c r="B50" i="14"/>
  <c r="C24" i="14"/>
  <c r="E12" i="15"/>
  <c r="I12" i="15"/>
  <c r="G12" i="15"/>
  <c r="Y184" i="12"/>
  <c r="Y138" i="12"/>
  <c r="Y95" i="12"/>
  <c r="K95" i="12"/>
  <c r="M95" i="12"/>
  <c r="O95" i="12"/>
  <c r="S95" i="12"/>
  <c r="U95" i="12"/>
  <c r="W95" i="12"/>
  <c r="AK95" i="12"/>
  <c r="AG95" i="12"/>
  <c r="AE95" i="12"/>
  <c r="AC95" i="12"/>
  <c r="I180" i="12"/>
  <c r="I181" i="12"/>
  <c r="I182" i="12"/>
  <c r="I183" i="12"/>
  <c r="AK158" i="12"/>
  <c r="AG158" i="12"/>
  <c r="AE158" i="12"/>
  <c r="AC158" i="12"/>
  <c r="Y158" i="12"/>
  <c r="W158" i="12"/>
  <c r="U158" i="12"/>
  <c r="S158" i="12"/>
  <c r="O158" i="12"/>
  <c r="M158" i="12"/>
  <c r="K158" i="12"/>
  <c r="I158" i="12"/>
  <c r="AK152" i="12"/>
  <c r="AG152" i="12"/>
  <c r="AE152" i="12"/>
  <c r="AC152" i="12"/>
  <c r="Y152" i="12"/>
  <c r="W152" i="12"/>
  <c r="U152" i="12"/>
  <c r="S152" i="12"/>
  <c r="O152" i="12"/>
  <c r="M152" i="12"/>
  <c r="K152" i="12"/>
  <c r="I152" i="12"/>
  <c r="S72" i="12"/>
  <c r="U72" i="12"/>
  <c r="W72" i="12"/>
  <c r="AG72" i="12"/>
  <c r="AK72" i="12"/>
  <c r="AK78" i="12"/>
  <c r="AG78" i="12"/>
  <c r="AE78" i="12"/>
  <c r="AC78" i="12"/>
  <c r="Y78" i="12"/>
  <c r="W78" i="12"/>
  <c r="U78" i="12"/>
  <c r="S78" i="12"/>
  <c r="O72" i="12"/>
  <c r="M72" i="12"/>
  <c r="K72" i="12"/>
  <c r="K78" i="12"/>
  <c r="I78" i="12"/>
  <c r="I72" i="12"/>
  <c r="AK117" i="12"/>
  <c r="AG117" i="12"/>
  <c r="AE117" i="12"/>
  <c r="AC117" i="12"/>
  <c r="Y117" i="12"/>
  <c r="W117" i="12"/>
  <c r="U117" i="12"/>
  <c r="S117" i="12"/>
  <c r="O117" i="12"/>
  <c r="M117" i="12"/>
  <c r="K117" i="12"/>
  <c r="I117" i="12"/>
  <c r="AK111" i="12"/>
  <c r="AG111" i="12"/>
  <c r="AE111" i="12"/>
  <c r="AC111" i="12"/>
  <c r="Y111" i="12"/>
  <c r="W111" i="12"/>
  <c r="U111" i="12"/>
  <c r="S111" i="12"/>
  <c r="O111" i="12"/>
  <c r="M111" i="12"/>
  <c r="K111" i="12"/>
  <c r="I111" i="12"/>
  <c r="AK88" i="12"/>
  <c r="S88" i="12"/>
  <c r="S90" i="12"/>
  <c r="AK30" i="12"/>
  <c r="AE30" i="12"/>
  <c r="S30" i="12"/>
  <c r="K30" i="12"/>
  <c r="AE28" i="12"/>
  <c r="AK26" i="12"/>
  <c r="AG26" i="12"/>
  <c r="AE26" i="12"/>
  <c r="AC26" i="12"/>
  <c r="Y26" i="12"/>
  <c r="W26" i="12"/>
  <c r="I26" i="12"/>
  <c r="K26" i="12"/>
  <c r="M26" i="12"/>
  <c r="O26" i="12"/>
  <c r="S26" i="12"/>
  <c r="U26" i="12"/>
  <c r="H171" i="18"/>
  <c r="D171" i="18"/>
  <c r="H153" i="18"/>
  <c r="F153" i="18"/>
  <c r="D153" i="18"/>
  <c r="H130" i="18"/>
  <c r="F130" i="18"/>
  <c r="D130" i="18"/>
  <c r="H104" i="18"/>
  <c r="F104" i="18"/>
  <c r="D104" i="18"/>
  <c r="H70" i="18"/>
  <c r="F70" i="18"/>
  <c r="D70" i="18"/>
  <c r="H30" i="18"/>
  <c r="F30" i="18"/>
  <c r="D30" i="18"/>
  <c r="AE114" i="12"/>
  <c r="AE115" i="12"/>
  <c r="AE109" i="12"/>
  <c r="C59" i="9"/>
  <c r="AC98" i="12"/>
  <c r="C57" i="9"/>
  <c r="D8" i="9"/>
  <c r="C48" i="9"/>
  <c r="G45" i="5"/>
  <c r="C164" i="12"/>
  <c r="A191" i="12"/>
  <c r="AK184" i="12"/>
  <c r="AI184" i="12"/>
  <c r="AG184" i="12"/>
  <c r="AE184" i="12"/>
  <c r="AC184" i="12"/>
  <c r="AA184" i="12"/>
  <c r="W184" i="12"/>
  <c r="U184" i="12"/>
  <c r="S184" i="12"/>
  <c r="Q184" i="12"/>
  <c r="O184" i="12"/>
  <c r="M184" i="12"/>
  <c r="K184" i="12"/>
  <c r="I184" i="12"/>
  <c r="G184" i="12"/>
  <c r="E184" i="12"/>
  <c r="C123" i="12"/>
  <c r="A145" i="12"/>
  <c r="AK138" i="12"/>
  <c r="AI138" i="12"/>
  <c r="AG138" i="12"/>
  <c r="AE138" i="12"/>
  <c r="AC138" i="12"/>
  <c r="AA138" i="12"/>
  <c r="W138" i="12"/>
  <c r="U138" i="12"/>
  <c r="S138" i="12"/>
  <c r="Q138" i="12"/>
  <c r="O138" i="12"/>
  <c r="M138" i="12"/>
  <c r="K138" i="12"/>
  <c r="I138" i="12"/>
  <c r="G138" i="12"/>
  <c r="E138" i="12"/>
  <c r="U149" i="12"/>
  <c r="U150" i="12"/>
  <c r="U151" i="12"/>
  <c r="U155" i="12"/>
  <c r="U156" i="12"/>
  <c r="U157" i="12"/>
  <c r="U164" i="12"/>
  <c r="U165" i="12"/>
  <c r="U166" i="12"/>
  <c r="U179" i="12"/>
  <c r="U180" i="12"/>
  <c r="U181" i="12"/>
  <c r="U182" i="12"/>
  <c r="C46" i="9"/>
  <c r="C61" i="9" s="1"/>
  <c r="AK3" i="12"/>
  <c r="AG3" i="12"/>
  <c r="AE3" i="12"/>
  <c r="AC3" i="12"/>
  <c r="Y3" i="12"/>
  <c r="W3" i="12"/>
  <c r="U3" i="12"/>
  <c r="S3" i="12"/>
  <c r="O3" i="12"/>
  <c r="M3" i="12"/>
  <c r="K3" i="12"/>
  <c r="I3" i="12"/>
  <c r="C98" i="12"/>
  <c r="C161" i="12"/>
  <c r="U161" i="12" s="1"/>
  <c r="AK187" i="12"/>
  <c r="AG187" i="12"/>
  <c r="AE187" i="12"/>
  <c r="AC187" i="12"/>
  <c r="Y187" i="12"/>
  <c r="W187" i="12"/>
  <c r="U187" i="12"/>
  <c r="S187" i="12"/>
  <c r="O187" i="12"/>
  <c r="M187" i="12"/>
  <c r="K187" i="12"/>
  <c r="I187" i="12"/>
  <c r="C187" i="12"/>
  <c r="C120" i="12"/>
  <c r="AE120" i="12" s="1"/>
  <c r="C117" i="12"/>
  <c r="C114" i="12"/>
  <c r="C111" i="12"/>
  <c r="C108" i="12"/>
  <c r="AK141" i="12"/>
  <c r="AG141" i="12"/>
  <c r="AE141" i="12"/>
  <c r="AC141" i="12"/>
  <c r="Y141" i="12"/>
  <c r="W141" i="12"/>
  <c r="U141" i="12"/>
  <c r="S141" i="12"/>
  <c r="O141" i="12"/>
  <c r="M141" i="12"/>
  <c r="K141" i="12"/>
  <c r="I141" i="12"/>
  <c r="C141" i="12"/>
  <c r="K61" i="12"/>
  <c r="A65" i="12"/>
  <c r="AK61" i="12"/>
  <c r="AG61" i="12"/>
  <c r="AE61" i="12"/>
  <c r="AC61" i="12"/>
  <c r="Y61" i="12"/>
  <c r="W61" i="12"/>
  <c r="U61" i="12"/>
  <c r="S61" i="12"/>
  <c r="O61" i="12"/>
  <c r="M61" i="12"/>
  <c r="I61" i="12"/>
  <c r="C61" i="12"/>
  <c r="C75" i="12"/>
  <c r="AK98" i="12"/>
  <c r="AG98" i="12"/>
  <c r="AE98" i="12"/>
  <c r="Y98" i="12"/>
  <c r="W98" i="12"/>
  <c r="U98" i="12"/>
  <c r="S98" i="12"/>
  <c r="O98" i="12"/>
  <c r="M98" i="12"/>
  <c r="K98" i="12"/>
  <c r="I98" i="12"/>
  <c r="A104" i="12"/>
  <c r="C69" i="12"/>
  <c r="C72" i="12"/>
  <c r="AE72" i="12" s="1"/>
  <c r="C94" i="12"/>
  <c r="I92" i="12" s="1"/>
  <c r="AK92" i="12"/>
  <c r="AI92" i="12"/>
  <c r="AG92" i="12"/>
  <c r="AE92" i="12"/>
  <c r="AC92" i="12"/>
  <c r="AA92" i="12"/>
  <c r="Y92" i="12"/>
  <c r="W92" i="12"/>
  <c r="S92" i="12"/>
  <c r="Q92" i="12"/>
  <c r="O92" i="12"/>
  <c r="M92" i="12"/>
  <c r="K92" i="12"/>
  <c r="G92" i="12"/>
  <c r="E92" i="12"/>
  <c r="AI177" i="12"/>
  <c r="AK175" i="12"/>
  <c r="AI175" i="12"/>
  <c r="AI173" i="12"/>
  <c r="AI167" i="12"/>
  <c r="AA167" i="12"/>
  <c r="AE161" i="12"/>
  <c r="AC161" i="12"/>
  <c r="D8" i="11"/>
  <c r="H27" i="11"/>
  <c r="J27" i="11"/>
  <c r="F27" i="11"/>
  <c r="H26" i="11"/>
  <c r="J26" i="11"/>
  <c r="F26" i="11"/>
  <c r="B23" i="5"/>
  <c r="M166" i="12"/>
  <c r="M165" i="12"/>
  <c r="M164" i="12"/>
  <c r="M161" i="12"/>
  <c r="M157" i="12"/>
  <c r="M156" i="12"/>
  <c r="M155" i="12"/>
  <c r="M151" i="12"/>
  <c r="M150" i="12"/>
  <c r="M149" i="12"/>
  <c r="I170" i="12"/>
  <c r="I167" i="12"/>
  <c r="I166" i="12"/>
  <c r="I165" i="12"/>
  <c r="I164" i="12"/>
  <c r="I161" i="12"/>
  <c r="I157" i="12"/>
  <c r="I156" i="12"/>
  <c r="I155" i="12"/>
  <c r="I151" i="12"/>
  <c r="I150" i="12"/>
  <c r="I149" i="12"/>
  <c r="AK81" i="12"/>
  <c r="AG81" i="12"/>
  <c r="AE81" i="12"/>
  <c r="AC81" i="12"/>
  <c r="Y81" i="12"/>
  <c r="W81" i="12"/>
  <c r="S81" i="12"/>
  <c r="O81" i="12"/>
  <c r="M81" i="12"/>
  <c r="K81" i="12"/>
  <c r="C83" i="12"/>
  <c r="I81" i="12" s="1"/>
  <c r="AK58" i="12"/>
  <c r="AE58" i="12"/>
  <c r="AC58" i="12"/>
  <c r="AG58" i="12"/>
  <c r="AK27" i="12"/>
  <c r="AG27" i="12"/>
  <c r="AE27" i="12"/>
  <c r="AC27" i="12"/>
  <c r="Y27" i="12"/>
  <c r="W27" i="12"/>
  <c r="O27" i="12"/>
  <c r="M27" i="12"/>
  <c r="K27" i="12"/>
  <c r="I27" i="12"/>
  <c r="U27" i="12"/>
  <c r="Y58" i="12"/>
  <c r="W58" i="12"/>
  <c r="AI14" i="12"/>
  <c r="AA14" i="12"/>
  <c r="AK12" i="12"/>
  <c r="AI12" i="12"/>
  <c r="AG12" i="12"/>
  <c r="AE12" i="12"/>
  <c r="S12" i="12"/>
  <c r="K12" i="12"/>
  <c r="I12" i="12"/>
  <c r="Q41" i="10"/>
  <c r="O41" i="10"/>
  <c r="M41" i="10"/>
  <c r="K41" i="10"/>
  <c r="I41" i="10"/>
  <c r="G41" i="10"/>
  <c r="E41" i="10"/>
  <c r="Q45" i="10"/>
  <c r="O45" i="10"/>
  <c r="M45" i="10"/>
  <c r="K45" i="10"/>
  <c r="I45" i="10"/>
  <c r="G45" i="10"/>
  <c r="E45" i="10"/>
  <c r="Q48" i="10"/>
  <c r="O48" i="10"/>
  <c r="M48" i="10"/>
  <c r="K48" i="10"/>
  <c r="I48" i="10"/>
  <c r="G48" i="10"/>
  <c r="E48" i="10"/>
  <c r="Q38" i="10"/>
  <c r="O38" i="10"/>
  <c r="M38" i="10"/>
  <c r="K38" i="10"/>
  <c r="I38" i="10"/>
  <c r="G38" i="10"/>
  <c r="E38" i="10"/>
  <c r="G91" i="15"/>
  <c r="I88" i="15"/>
  <c r="G88" i="15"/>
  <c r="E88" i="15"/>
  <c r="I91" i="15"/>
  <c r="E91" i="15"/>
  <c r="I97" i="15"/>
  <c r="G97" i="15"/>
  <c r="E97" i="15"/>
  <c r="E128" i="15"/>
  <c r="I19" i="15"/>
  <c r="I20" i="15"/>
  <c r="I21" i="15"/>
  <c r="I22" i="15"/>
  <c r="I18" i="15"/>
  <c r="G18" i="15"/>
  <c r="E18" i="15"/>
  <c r="I133" i="15"/>
  <c r="G133" i="15"/>
  <c r="E133" i="15"/>
  <c r="I111" i="15"/>
  <c r="G111" i="15"/>
  <c r="E111" i="15"/>
  <c r="I69" i="15"/>
  <c r="G69" i="15"/>
  <c r="E69" i="15"/>
  <c r="I52" i="15"/>
  <c r="G52" i="15"/>
  <c r="E52" i="15"/>
  <c r="I29" i="15"/>
  <c r="G29" i="15"/>
  <c r="E29" i="15"/>
  <c r="A30" i="17"/>
  <c r="A31" i="17"/>
  <c r="A32" i="17"/>
  <c r="A33" i="17"/>
  <c r="A34" i="17"/>
  <c r="A35" i="17"/>
  <c r="A36" i="17"/>
  <c r="A37" i="17"/>
  <c r="A38" i="17"/>
  <c r="A39" i="17"/>
  <c r="A40" i="17"/>
  <c r="A41" i="17"/>
  <c r="A29" i="17"/>
  <c r="B40" i="17"/>
  <c r="B41" i="17"/>
  <c r="B30" i="17"/>
  <c r="B31" i="17"/>
  <c r="B32" i="17"/>
  <c r="B33" i="17"/>
  <c r="B34" i="17"/>
  <c r="B35" i="17"/>
  <c r="B36" i="17"/>
  <c r="B37" i="17"/>
  <c r="B38" i="17"/>
  <c r="B39" i="17"/>
  <c r="B29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8" i="17"/>
  <c r="K24" i="14"/>
  <c r="G24" i="14"/>
  <c r="A29" i="14"/>
  <c r="B29" i="14"/>
  <c r="H118" i="15"/>
  <c r="F118" i="15"/>
  <c r="D118" i="15"/>
  <c r="H76" i="15"/>
  <c r="F76" i="15"/>
  <c r="D76" i="15"/>
  <c r="H48" i="15"/>
  <c r="F48" i="15"/>
  <c r="D48" i="15"/>
  <c r="H7" i="15"/>
  <c r="F7" i="15"/>
  <c r="D7" i="15"/>
  <c r="I139" i="15"/>
  <c r="I136" i="15"/>
  <c r="I132" i="15"/>
  <c r="I131" i="15"/>
  <c r="I130" i="15"/>
  <c r="I129" i="15"/>
  <c r="I128" i="15"/>
  <c r="I125" i="15"/>
  <c r="I110" i="15"/>
  <c r="I109" i="15"/>
  <c r="I107" i="15"/>
  <c r="I104" i="15"/>
  <c r="I103" i="15"/>
  <c r="I102" i="15"/>
  <c r="I100" i="15"/>
  <c r="I83" i="15"/>
  <c r="I116" i="15" s="1"/>
  <c r="I72" i="15"/>
  <c r="I71" i="15"/>
  <c r="I68" i="15"/>
  <c r="I67" i="15"/>
  <c r="I66" i="15"/>
  <c r="I65" i="15"/>
  <c r="I64" i="15"/>
  <c r="I63" i="15"/>
  <c r="I62" i="15"/>
  <c r="I61" i="15"/>
  <c r="I59" i="15"/>
  <c r="I50" i="15"/>
  <c r="I45" i="15"/>
  <c r="I40" i="15"/>
  <c r="I39" i="15"/>
  <c r="I35" i="15"/>
  <c r="B21" i="9"/>
  <c r="B44" i="9" s="1"/>
  <c r="B22" i="9"/>
  <c r="B45" i="9" s="1"/>
  <c r="B23" i="9"/>
  <c r="B46" i="9" s="1"/>
  <c r="B24" i="9"/>
  <c r="B47" i="9" s="1"/>
  <c r="B25" i="9"/>
  <c r="B48" i="9" s="1"/>
  <c r="B26" i="9"/>
  <c r="B49" i="9" s="1"/>
  <c r="B27" i="9"/>
  <c r="B50" i="9" s="1"/>
  <c r="B28" i="9"/>
  <c r="B51" i="9" s="1"/>
  <c r="B29" i="9"/>
  <c r="B52" i="9" s="1"/>
  <c r="B30" i="9"/>
  <c r="B53" i="9" s="1"/>
  <c r="B31" i="9"/>
  <c r="B54" i="9" s="1"/>
  <c r="B32" i="9"/>
  <c r="B55" i="9" s="1"/>
  <c r="B33" i="9"/>
  <c r="B56" i="9" s="1"/>
  <c r="B34" i="9"/>
  <c r="B57" i="9" s="1"/>
  <c r="B35" i="9"/>
  <c r="B58" i="9" s="1"/>
  <c r="B36" i="9"/>
  <c r="B59" i="9" s="1"/>
  <c r="B37" i="9"/>
  <c r="B60" i="9" s="1"/>
  <c r="B20" i="9"/>
  <c r="B43" i="9" s="1"/>
  <c r="B20" i="11"/>
  <c r="B21" i="11"/>
  <c r="B22" i="11"/>
  <c r="B23" i="11"/>
  <c r="B24" i="11"/>
  <c r="B25" i="11"/>
  <c r="B19" i="11"/>
  <c r="C15" i="11"/>
  <c r="Q26" i="10"/>
  <c r="O26" i="10"/>
  <c r="G26" i="10"/>
  <c r="Q29" i="10"/>
  <c r="O29" i="10"/>
  <c r="M29" i="10"/>
  <c r="K29" i="10"/>
  <c r="I29" i="10"/>
  <c r="G29" i="10"/>
  <c r="E29" i="10"/>
  <c r="F56" i="10"/>
  <c r="E11" i="10"/>
  <c r="Q32" i="10"/>
  <c r="O32" i="10"/>
  <c r="M32" i="10"/>
  <c r="I32" i="10"/>
  <c r="G32" i="10"/>
  <c r="K32" i="10"/>
  <c r="E32" i="10"/>
  <c r="N58" i="10"/>
  <c r="N7" i="10" s="1"/>
  <c r="O7" i="10" s="1"/>
  <c r="P58" i="10"/>
  <c r="P59" i="10" s="1"/>
  <c r="P60" i="10" s="1"/>
  <c r="L58" i="10"/>
  <c r="L7" i="10" s="1"/>
  <c r="M7" i="10" s="1"/>
  <c r="J58" i="10"/>
  <c r="J7" i="10" s="1"/>
  <c r="K7" i="10" s="1"/>
  <c r="H58" i="10"/>
  <c r="H59" i="10" s="1"/>
  <c r="H60" i="10" s="1"/>
  <c r="D58" i="10"/>
  <c r="D59" i="10" s="1"/>
  <c r="D60" i="10" s="1"/>
  <c r="F57" i="10"/>
  <c r="F58" i="10" s="1"/>
  <c r="Q35" i="10"/>
  <c r="O35" i="10"/>
  <c r="M35" i="10"/>
  <c r="K35" i="10"/>
  <c r="I35" i="10"/>
  <c r="G35" i="10"/>
  <c r="E35" i="10"/>
  <c r="I20" i="10"/>
  <c r="G20" i="10"/>
  <c r="E20" i="10"/>
  <c r="I17" i="10"/>
  <c r="G17" i="10"/>
  <c r="E17" i="10"/>
  <c r="Q14" i="10"/>
  <c r="O14" i="10"/>
  <c r="M14" i="10"/>
  <c r="K14" i="10"/>
  <c r="I14" i="10"/>
  <c r="G14" i="10"/>
  <c r="E14" i="10"/>
  <c r="C22" i="10"/>
  <c r="O20" i="10" s="1"/>
  <c r="C19" i="10"/>
  <c r="K17" i="10" s="1"/>
  <c r="Q11" i="10"/>
  <c r="O11" i="10"/>
  <c r="M11" i="10"/>
  <c r="K11" i="10"/>
  <c r="I11" i="10"/>
  <c r="G11" i="10"/>
  <c r="M23" i="10"/>
  <c r="I23" i="10"/>
  <c r="G23" i="10"/>
  <c r="A52" i="10"/>
  <c r="Q3" i="10"/>
  <c r="O3" i="10"/>
  <c r="M3" i="10"/>
  <c r="K3" i="10"/>
  <c r="I3" i="10"/>
  <c r="G3" i="10"/>
  <c r="E3" i="10"/>
  <c r="Q5" i="10"/>
  <c r="O5" i="10"/>
  <c r="M5" i="10"/>
  <c r="K5" i="10"/>
  <c r="I5" i="10"/>
  <c r="G5" i="10"/>
  <c r="E5" i="10"/>
  <c r="E183" i="18"/>
  <c r="G183" i="18" s="1"/>
  <c r="I183" i="18" s="1"/>
  <c r="E116" i="18"/>
  <c r="E112" i="18"/>
  <c r="E161" i="18"/>
  <c r="E155" i="18"/>
  <c r="E142" i="18"/>
  <c r="E139" i="18"/>
  <c r="E106" i="18"/>
  <c r="C100" i="18"/>
  <c r="G100" i="18" s="1"/>
  <c r="E78" i="18"/>
  <c r="E94" i="18"/>
  <c r="E72" i="18"/>
  <c r="E91" i="18"/>
  <c r="C91" i="18"/>
  <c r="G91" i="18" s="1"/>
  <c r="E89" i="18"/>
  <c r="C89" i="18"/>
  <c r="G89" i="18" s="1"/>
  <c r="E87" i="18"/>
  <c r="C87" i="18"/>
  <c r="G87" i="18" s="1"/>
  <c r="E97" i="18"/>
  <c r="E55" i="18"/>
  <c r="I102" i="19"/>
  <c r="G102" i="19"/>
  <c r="I47" i="19"/>
  <c r="I46" i="19"/>
  <c r="I45" i="19"/>
  <c r="G47" i="19"/>
  <c r="E47" i="19"/>
  <c r="G46" i="19"/>
  <c r="E46" i="19"/>
  <c r="G45" i="19"/>
  <c r="E45" i="19"/>
  <c r="I22" i="19"/>
  <c r="I14" i="19"/>
  <c r="I13" i="19"/>
  <c r="I12" i="19"/>
  <c r="I11" i="19"/>
  <c r="I8" i="19"/>
  <c r="H4" i="19"/>
  <c r="F4" i="19"/>
  <c r="D4" i="19"/>
  <c r="G22" i="19"/>
  <c r="E22" i="19"/>
  <c r="E18" i="19"/>
  <c r="G14" i="19"/>
  <c r="E14" i="19"/>
  <c r="G13" i="19"/>
  <c r="E13" i="19"/>
  <c r="G12" i="19"/>
  <c r="E12" i="19"/>
  <c r="G11" i="19"/>
  <c r="E11" i="19"/>
  <c r="G8" i="19"/>
  <c r="E8" i="19"/>
  <c r="E139" i="15"/>
  <c r="E136" i="15"/>
  <c r="E132" i="15"/>
  <c r="E131" i="15"/>
  <c r="E130" i="15"/>
  <c r="E129" i="15"/>
  <c r="E125" i="15"/>
  <c r="G139" i="15"/>
  <c r="G136" i="15"/>
  <c r="G125" i="15"/>
  <c r="G129" i="15"/>
  <c r="G130" i="15"/>
  <c r="G131" i="15"/>
  <c r="G132" i="15"/>
  <c r="G128" i="15"/>
  <c r="E110" i="15"/>
  <c r="E109" i="15"/>
  <c r="E108" i="15"/>
  <c r="E107" i="15"/>
  <c r="E104" i="15"/>
  <c r="E103" i="15"/>
  <c r="E102" i="15"/>
  <c r="E100" i="15"/>
  <c r="E83" i="15"/>
  <c r="E116" i="15" s="1"/>
  <c r="G108" i="15"/>
  <c r="G109" i="15"/>
  <c r="G110" i="15"/>
  <c r="G107" i="15"/>
  <c r="G103" i="15"/>
  <c r="G104" i="15"/>
  <c r="G102" i="15"/>
  <c r="G100" i="15"/>
  <c r="G83" i="15"/>
  <c r="E72" i="15"/>
  <c r="E71" i="15"/>
  <c r="E68" i="15"/>
  <c r="E67" i="15"/>
  <c r="E66" i="15"/>
  <c r="E65" i="15"/>
  <c r="E64" i="15"/>
  <c r="E63" i="15"/>
  <c r="E62" i="15"/>
  <c r="E61" i="15"/>
  <c r="E59" i="15"/>
  <c r="E50" i="15"/>
  <c r="G72" i="15"/>
  <c r="G71" i="15"/>
  <c r="G68" i="15"/>
  <c r="G67" i="15"/>
  <c r="G62" i="15"/>
  <c r="G63" i="15"/>
  <c r="G64" i="15"/>
  <c r="G65" i="15"/>
  <c r="G66" i="15"/>
  <c r="G61" i="15"/>
  <c r="G59" i="15"/>
  <c r="G50" i="15"/>
  <c r="E19" i="15"/>
  <c r="E20" i="15"/>
  <c r="E21" i="15"/>
  <c r="E22" i="15"/>
  <c r="E31" i="15"/>
  <c r="I31" i="15" s="1"/>
  <c r="E34" i="15"/>
  <c r="I34" i="15" s="1"/>
  <c r="E35" i="15"/>
  <c r="E39" i="15"/>
  <c r="E40" i="15"/>
  <c r="E45" i="15"/>
  <c r="U55" i="22"/>
  <c r="S55" i="22"/>
  <c r="Q55" i="22"/>
  <c r="O55" i="22"/>
  <c r="M55" i="22"/>
  <c r="K55" i="22"/>
  <c r="I55" i="22"/>
  <c r="G55" i="22"/>
  <c r="E55" i="22"/>
  <c r="S53" i="22"/>
  <c r="Q53" i="22"/>
  <c r="O53" i="22"/>
  <c r="M53" i="22"/>
  <c r="K53" i="22"/>
  <c r="I53" i="22"/>
  <c r="G53" i="22"/>
  <c r="E53" i="22"/>
  <c r="S51" i="22"/>
  <c r="Q51" i="22"/>
  <c r="O51" i="22"/>
  <c r="M51" i="22"/>
  <c r="K51" i="22"/>
  <c r="I51" i="22"/>
  <c r="G51" i="22"/>
  <c r="E51" i="22"/>
  <c r="U53" i="22"/>
  <c r="U49" i="22"/>
  <c r="S49" i="22"/>
  <c r="Q49" i="22"/>
  <c r="O49" i="22"/>
  <c r="M49" i="22"/>
  <c r="K49" i="22"/>
  <c r="I49" i="22"/>
  <c r="G49" i="22"/>
  <c r="E49" i="22"/>
  <c r="A1" i="22"/>
  <c r="U47" i="22"/>
  <c r="S47" i="22"/>
  <c r="Q47" i="22"/>
  <c r="O47" i="22"/>
  <c r="M47" i="22"/>
  <c r="K47" i="22"/>
  <c r="I47" i="22"/>
  <c r="G47" i="22"/>
  <c r="E47" i="22"/>
  <c r="U45" i="22"/>
  <c r="S45" i="22"/>
  <c r="Q45" i="22"/>
  <c r="O45" i="22"/>
  <c r="M45" i="22"/>
  <c r="K45" i="22"/>
  <c r="I45" i="22"/>
  <c r="G45" i="22"/>
  <c r="E45" i="22"/>
  <c r="G41" i="22"/>
  <c r="I41" i="22"/>
  <c r="K41" i="22"/>
  <c r="M41" i="22"/>
  <c r="O41" i="22"/>
  <c r="Q41" i="22"/>
  <c r="S41" i="22"/>
  <c r="U41" i="22"/>
  <c r="E41" i="22"/>
  <c r="I39" i="22"/>
  <c r="U43" i="22"/>
  <c r="S43" i="22"/>
  <c r="Q43" i="22"/>
  <c r="O43" i="22"/>
  <c r="M43" i="22"/>
  <c r="K43" i="22"/>
  <c r="I43" i="22"/>
  <c r="G43" i="22"/>
  <c r="U37" i="22"/>
  <c r="S37" i="22"/>
  <c r="Q37" i="22"/>
  <c r="O37" i="22"/>
  <c r="M37" i="22"/>
  <c r="K37" i="22"/>
  <c r="I37" i="22"/>
  <c r="G37" i="22"/>
  <c r="M35" i="22"/>
  <c r="O35" i="22"/>
  <c r="Q35" i="22"/>
  <c r="S35" i="22"/>
  <c r="U35" i="22"/>
  <c r="I35" i="22"/>
  <c r="G35" i="22"/>
  <c r="S25" i="22"/>
  <c r="Q25" i="22"/>
  <c r="O25" i="22"/>
  <c r="M25" i="22"/>
  <c r="K25" i="22"/>
  <c r="I25" i="22"/>
  <c r="U25" i="22"/>
  <c r="G25" i="22"/>
  <c r="U16" i="22"/>
  <c r="T22" i="22"/>
  <c r="U22" i="22" s="1"/>
  <c r="E35" i="22"/>
  <c r="E37" i="22"/>
  <c r="K35" i="22"/>
  <c r="E57" i="22"/>
  <c r="G57" i="22"/>
  <c r="I57" i="22"/>
  <c r="K57" i="22"/>
  <c r="M57" i="22"/>
  <c r="O57" i="22"/>
  <c r="E58" i="22"/>
  <c r="G58" i="22"/>
  <c r="I58" i="22"/>
  <c r="K58" i="22"/>
  <c r="M58" i="22"/>
  <c r="O58" i="22"/>
  <c r="E59" i="22"/>
  <c r="G59" i="22"/>
  <c r="I59" i="22"/>
  <c r="K59" i="22"/>
  <c r="M59" i="22"/>
  <c r="O59" i="22"/>
  <c r="U59" i="22"/>
  <c r="S59" i="22"/>
  <c r="Q59" i="22"/>
  <c r="U58" i="22"/>
  <c r="S58" i="22"/>
  <c r="Q58" i="22"/>
  <c r="U57" i="22"/>
  <c r="S57" i="22"/>
  <c r="Q57" i="22"/>
  <c r="S22" i="22"/>
  <c r="Q22" i="22"/>
  <c r="O22" i="22"/>
  <c r="M22" i="22"/>
  <c r="K22" i="22"/>
  <c r="I22" i="22"/>
  <c r="G22" i="22"/>
  <c r="E22" i="22"/>
  <c r="E25" i="22"/>
  <c r="L155" i="25"/>
  <c r="K155" i="25"/>
  <c r="J155" i="25"/>
  <c r="I155" i="25"/>
  <c r="H155" i="25"/>
  <c r="G155" i="25"/>
  <c r="F155" i="25"/>
  <c r="E155" i="25"/>
  <c r="D155" i="25"/>
  <c r="C155" i="25"/>
  <c r="D89" i="25"/>
  <c r="E89" i="25" s="1"/>
  <c r="D88" i="25"/>
  <c r="E88" i="25" s="1"/>
  <c r="D87" i="25"/>
  <c r="E87" i="25" s="1"/>
  <c r="D86" i="25"/>
  <c r="E86" i="25" s="1"/>
  <c r="D85" i="25"/>
  <c r="E85" i="25" s="1"/>
  <c r="D84" i="25"/>
  <c r="E84" i="25" s="1"/>
  <c r="D83" i="25"/>
  <c r="E83" i="25" s="1"/>
  <c r="D82" i="25"/>
  <c r="E82" i="25" s="1"/>
  <c r="D81" i="25"/>
  <c r="E81" i="25" s="1"/>
  <c r="D80" i="25"/>
  <c r="E80" i="25" s="1"/>
  <c r="D79" i="25"/>
  <c r="E79" i="25" s="1"/>
  <c r="D78" i="25"/>
  <c r="E78" i="25" s="1"/>
  <c r="D77" i="25"/>
  <c r="E77" i="25" s="1"/>
  <c r="D76" i="25"/>
  <c r="E76" i="25" s="1"/>
  <c r="D75" i="25"/>
  <c r="E75" i="25" s="1"/>
  <c r="D74" i="25"/>
  <c r="E74" i="25" s="1"/>
  <c r="D73" i="25"/>
  <c r="E73" i="25" s="1"/>
  <c r="D72" i="25"/>
  <c r="E72" i="25" s="1"/>
  <c r="D71" i="25"/>
  <c r="E71" i="25" s="1"/>
  <c r="D70" i="25"/>
  <c r="E70" i="25" s="1"/>
  <c r="D69" i="25"/>
  <c r="E69" i="25" s="1"/>
  <c r="D68" i="25"/>
  <c r="E68" i="25" s="1"/>
  <c r="D67" i="25"/>
  <c r="E67" i="25" s="1"/>
  <c r="D66" i="25"/>
  <c r="E66" i="25" s="1"/>
  <c r="D65" i="25"/>
  <c r="E65" i="25" s="1"/>
  <c r="D64" i="25"/>
  <c r="E64" i="25" s="1"/>
  <c r="D63" i="25"/>
  <c r="E63" i="25" s="1"/>
  <c r="D62" i="25"/>
  <c r="E62" i="25" s="1"/>
  <c r="D61" i="25"/>
  <c r="E61" i="25" s="1"/>
  <c r="D60" i="25"/>
  <c r="E60" i="25" s="1"/>
  <c r="D59" i="25"/>
  <c r="E59" i="25" s="1"/>
  <c r="D58" i="25"/>
  <c r="E58" i="25" s="1"/>
  <c r="D57" i="25"/>
  <c r="E57" i="25" s="1"/>
  <c r="D56" i="25"/>
  <c r="E56" i="25" s="1"/>
  <c r="D55" i="25"/>
  <c r="E55" i="25" s="1"/>
  <c r="D54" i="25"/>
  <c r="E54" i="25" s="1"/>
  <c r="D53" i="25"/>
  <c r="E53" i="25" s="1"/>
  <c r="D52" i="25"/>
  <c r="E52" i="25" s="1"/>
  <c r="D51" i="25"/>
  <c r="E51" i="25" s="1"/>
  <c r="D50" i="25"/>
  <c r="E50" i="25" s="1"/>
  <c r="D49" i="25"/>
  <c r="E49" i="25" s="1"/>
  <c r="D48" i="25"/>
  <c r="E48" i="25" s="1"/>
  <c r="D47" i="25"/>
  <c r="E47" i="25" s="1"/>
  <c r="D46" i="25"/>
  <c r="E46" i="25" s="1"/>
  <c r="D45" i="25"/>
  <c r="E45" i="25" s="1"/>
  <c r="D44" i="25"/>
  <c r="E44" i="25" s="1"/>
  <c r="D43" i="25"/>
  <c r="E43" i="25" s="1"/>
  <c r="D42" i="25"/>
  <c r="E42" i="25" s="1"/>
  <c r="D41" i="25"/>
  <c r="E41" i="25" s="1"/>
  <c r="D40" i="25"/>
  <c r="E40" i="25" s="1"/>
  <c r="D39" i="25"/>
  <c r="E39" i="25" s="1"/>
  <c r="D38" i="25"/>
  <c r="E38" i="25" s="1"/>
  <c r="D37" i="25"/>
  <c r="E37" i="25" s="1"/>
  <c r="D36" i="25"/>
  <c r="E36" i="25" s="1"/>
  <c r="D35" i="25"/>
  <c r="E35" i="25" s="1"/>
  <c r="D34" i="25"/>
  <c r="E34" i="25" s="1"/>
  <c r="D33" i="25"/>
  <c r="E33" i="25" s="1"/>
  <c r="D32" i="25"/>
  <c r="E32" i="25" s="1"/>
  <c r="D31" i="25"/>
  <c r="E31" i="25" s="1"/>
  <c r="D30" i="25"/>
  <c r="E30" i="25" s="1"/>
  <c r="D29" i="25"/>
  <c r="E29" i="25" s="1"/>
  <c r="D28" i="25"/>
  <c r="E28" i="25" s="1"/>
  <c r="D27" i="25"/>
  <c r="E27" i="25" s="1"/>
  <c r="D26" i="25"/>
  <c r="E26" i="25" s="1"/>
  <c r="D25" i="25"/>
  <c r="E25" i="25" s="1"/>
  <c r="D24" i="25"/>
  <c r="E24" i="25" s="1"/>
  <c r="D23" i="25"/>
  <c r="E23" i="25" s="1"/>
  <c r="D22" i="25"/>
  <c r="E22" i="25" s="1"/>
  <c r="D21" i="25"/>
  <c r="E21" i="25" s="1"/>
  <c r="D20" i="25"/>
  <c r="E20" i="25" s="1"/>
  <c r="D19" i="25"/>
  <c r="E19" i="25" s="1"/>
  <c r="D18" i="25"/>
  <c r="E18" i="25" s="1"/>
  <c r="D17" i="25"/>
  <c r="E17" i="25" s="1"/>
  <c r="D16" i="25"/>
  <c r="E16" i="25" s="1"/>
  <c r="D15" i="25"/>
  <c r="E15" i="25" s="1"/>
  <c r="D14" i="25"/>
  <c r="E14" i="25" s="1"/>
  <c r="D13" i="25"/>
  <c r="E13" i="25" s="1"/>
  <c r="D12" i="25"/>
  <c r="E12" i="25" s="1"/>
  <c r="D11" i="25"/>
  <c r="E11" i="25" s="1"/>
  <c r="D10" i="25"/>
  <c r="E10" i="25" s="1"/>
  <c r="D9" i="25"/>
  <c r="E9" i="25" s="1"/>
  <c r="D8" i="25"/>
  <c r="E8" i="25" s="1"/>
  <c r="D7" i="25"/>
  <c r="E7" i="25" s="1"/>
  <c r="D6" i="25"/>
  <c r="E6" i="25" s="1"/>
  <c r="D5" i="25"/>
  <c r="E5" i="25" s="1"/>
  <c r="D4" i="25"/>
  <c r="E4" i="25" s="1"/>
  <c r="D3" i="25"/>
  <c r="M4" i="25"/>
  <c r="M5" i="25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06" i="25"/>
  <c r="M107" i="25"/>
  <c r="M108" i="25"/>
  <c r="M109" i="25"/>
  <c r="M110" i="25"/>
  <c r="M111" i="25"/>
  <c r="M112" i="25"/>
  <c r="M113" i="25"/>
  <c r="M114" i="25"/>
  <c r="M115" i="25"/>
  <c r="M116" i="25"/>
  <c r="M117" i="25"/>
  <c r="M118" i="25"/>
  <c r="M119" i="25"/>
  <c r="M120" i="25"/>
  <c r="M121" i="25"/>
  <c r="M122" i="25"/>
  <c r="M123" i="25"/>
  <c r="M124" i="25"/>
  <c r="M125" i="25"/>
  <c r="M126" i="25"/>
  <c r="M127" i="25"/>
  <c r="M128" i="25"/>
  <c r="M129" i="25"/>
  <c r="M130" i="25"/>
  <c r="M131" i="25"/>
  <c r="M132" i="25"/>
  <c r="M133" i="25"/>
  <c r="M134" i="25"/>
  <c r="M135" i="25"/>
  <c r="M136" i="25"/>
  <c r="M137" i="25"/>
  <c r="M138" i="25"/>
  <c r="M139" i="25"/>
  <c r="M140" i="25"/>
  <c r="M3" i="25"/>
  <c r="J141" i="25"/>
  <c r="U21" i="22"/>
  <c r="U20" i="22"/>
  <c r="U19" i="22"/>
  <c r="S21" i="22"/>
  <c r="S20" i="22"/>
  <c r="S19" i="22"/>
  <c r="Q21" i="22"/>
  <c r="Q20" i="22"/>
  <c r="Q19" i="22"/>
  <c r="O21" i="22"/>
  <c r="O20" i="22"/>
  <c r="O19" i="22"/>
  <c r="K21" i="22"/>
  <c r="K20" i="22"/>
  <c r="K19" i="22"/>
  <c r="I21" i="22"/>
  <c r="I20" i="22"/>
  <c r="I19" i="22"/>
  <c r="M21" i="22"/>
  <c r="M20" i="22"/>
  <c r="M19" i="22"/>
  <c r="G21" i="22"/>
  <c r="G20" i="22"/>
  <c r="G19" i="22"/>
  <c r="E21" i="22"/>
  <c r="E20" i="22"/>
  <c r="E19" i="22"/>
  <c r="M16" i="22"/>
  <c r="S16" i="22"/>
  <c r="Q16" i="22"/>
  <c r="O16" i="22"/>
  <c r="K16" i="22"/>
  <c r="I16" i="22"/>
  <c r="G16" i="22"/>
  <c r="E16" i="22"/>
  <c r="H4" i="24"/>
  <c r="H34" i="24" s="1"/>
  <c r="G4" i="24"/>
  <c r="G34" i="24" s="1"/>
  <c r="F4" i="24"/>
  <c r="F34" i="24" s="1"/>
  <c r="E4" i="24"/>
  <c r="E34" i="24" s="1"/>
  <c r="D4" i="24"/>
  <c r="D34" i="24" s="1"/>
  <c r="C4" i="24"/>
  <c r="C34" i="24" s="1"/>
  <c r="B4" i="24"/>
  <c r="B11" i="23"/>
  <c r="B10" i="23"/>
  <c r="T33" i="22"/>
  <c r="R33" i="22"/>
  <c r="P33" i="22"/>
  <c r="N33" i="22"/>
  <c r="L33" i="22"/>
  <c r="J33" i="22"/>
  <c r="H33" i="22"/>
  <c r="F33" i="22"/>
  <c r="D33" i="22"/>
  <c r="T2" i="22"/>
  <c r="R2" i="22"/>
  <c r="P2" i="22"/>
  <c r="N2" i="22"/>
  <c r="L2" i="22"/>
  <c r="J2" i="22"/>
  <c r="H2" i="22"/>
  <c r="D2" i="22"/>
  <c r="M7" i="22"/>
  <c r="U7" i="22"/>
  <c r="S7" i="22"/>
  <c r="Q7" i="22"/>
  <c r="O7" i="22"/>
  <c r="K7" i="22"/>
  <c r="I7" i="22"/>
  <c r="G7" i="22"/>
  <c r="E7" i="22"/>
  <c r="M4" i="22"/>
  <c r="U4" i="22"/>
  <c r="S4" i="22"/>
  <c r="Q4" i="22"/>
  <c r="O4" i="22"/>
  <c r="K4" i="22"/>
  <c r="I4" i="22"/>
  <c r="G4" i="22"/>
  <c r="E4" i="22"/>
  <c r="A34" i="22"/>
  <c r="A3" i="22"/>
  <c r="D9" i="21"/>
  <c r="E9" i="21" s="1"/>
  <c r="F9" i="21" s="1"/>
  <c r="D8" i="21"/>
  <c r="E8" i="21" s="1"/>
  <c r="F8" i="21" s="1"/>
  <c r="F5" i="21"/>
  <c r="A5" i="21"/>
  <c r="A2" i="21"/>
  <c r="A1" i="21"/>
  <c r="A2" i="20"/>
  <c r="A1" i="20"/>
  <c r="A1" i="19"/>
  <c r="E46" i="18"/>
  <c r="G46" i="18" s="1"/>
  <c r="I46" i="18" s="1"/>
  <c r="Y149" i="12"/>
  <c r="AA149" i="12"/>
  <c r="AC149" i="12"/>
  <c r="AE149" i="12"/>
  <c r="AG149" i="12"/>
  <c r="AI149" i="12"/>
  <c r="AK149" i="12"/>
  <c r="AM149" i="12"/>
  <c r="Y150" i="12"/>
  <c r="AA150" i="12"/>
  <c r="AC150" i="12"/>
  <c r="AE150" i="12"/>
  <c r="AG150" i="12"/>
  <c r="AI150" i="12"/>
  <c r="AK150" i="12"/>
  <c r="AM150" i="12"/>
  <c r="Y151" i="12"/>
  <c r="AA151" i="12"/>
  <c r="AC151" i="12"/>
  <c r="AE151" i="12"/>
  <c r="AG151" i="12"/>
  <c r="AI151" i="12"/>
  <c r="AK151" i="12"/>
  <c r="AM151" i="12"/>
  <c r="AA152" i="12"/>
  <c r="AI152" i="12"/>
  <c r="AM152" i="12"/>
  <c r="Y155" i="12"/>
  <c r="AA155" i="12"/>
  <c r="AC155" i="12"/>
  <c r="AE155" i="12"/>
  <c r="AG155" i="12"/>
  <c r="AI155" i="12"/>
  <c r="AK155" i="12"/>
  <c r="AM155" i="12"/>
  <c r="Y156" i="12"/>
  <c r="AA156" i="12"/>
  <c r="AC156" i="12"/>
  <c r="AE156" i="12"/>
  <c r="AG156" i="12"/>
  <c r="AI156" i="12"/>
  <c r="AK156" i="12"/>
  <c r="AM156" i="12"/>
  <c r="Y157" i="12"/>
  <c r="AA157" i="12"/>
  <c r="AC157" i="12"/>
  <c r="AE157" i="12"/>
  <c r="AG157" i="12"/>
  <c r="AI157" i="12"/>
  <c r="AK157" i="12"/>
  <c r="AM157" i="12"/>
  <c r="AA158" i="12"/>
  <c r="AI158" i="12"/>
  <c r="AM158" i="12"/>
  <c r="Y161" i="12"/>
  <c r="AA161" i="12"/>
  <c r="AI161" i="12"/>
  <c r="AM161" i="12"/>
  <c r="Y164" i="12"/>
  <c r="AA164" i="12"/>
  <c r="AC164" i="12"/>
  <c r="AE164" i="12"/>
  <c r="AG164" i="12"/>
  <c r="AI164" i="12"/>
  <c r="AK164" i="12"/>
  <c r="AM164" i="12"/>
  <c r="Y165" i="12"/>
  <c r="AA165" i="12"/>
  <c r="AC165" i="12"/>
  <c r="AE165" i="12"/>
  <c r="AG165" i="12"/>
  <c r="AI165" i="12"/>
  <c r="AK165" i="12"/>
  <c r="AM165" i="12"/>
  <c r="Y166" i="12"/>
  <c r="AA166" i="12"/>
  <c r="AC166" i="12"/>
  <c r="AG166" i="12"/>
  <c r="AI166" i="12"/>
  <c r="AK166" i="12"/>
  <c r="AM166" i="12"/>
  <c r="AM167" i="12"/>
  <c r="AA170" i="12"/>
  <c r="AI170" i="12"/>
  <c r="AM170" i="12"/>
  <c r="AA173" i="12"/>
  <c r="AM173" i="12"/>
  <c r="AA175" i="12"/>
  <c r="AM175" i="12"/>
  <c r="AA177" i="12"/>
  <c r="AM177" i="12"/>
  <c r="Y179" i="12"/>
  <c r="AA179" i="12"/>
  <c r="AC179" i="12"/>
  <c r="AE179" i="12"/>
  <c r="AG179" i="12"/>
  <c r="AI179" i="12"/>
  <c r="AK179" i="12"/>
  <c r="AM179" i="12"/>
  <c r="Y180" i="12"/>
  <c r="AA180" i="12"/>
  <c r="AC180" i="12"/>
  <c r="AE180" i="12"/>
  <c r="AG180" i="12"/>
  <c r="AI180" i="12"/>
  <c r="AK180" i="12"/>
  <c r="AM180" i="12"/>
  <c r="Y181" i="12"/>
  <c r="AA181" i="12"/>
  <c r="AC181" i="12"/>
  <c r="AE181" i="12"/>
  <c r="AG181" i="12"/>
  <c r="AI181" i="12"/>
  <c r="AK181" i="12"/>
  <c r="AM181" i="12"/>
  <c r="Y182" i="12"/>
  <c r="AA182" i="12"/>
  <c r="AC182" i="12"/>
  <c r="AE182" i="12"/>
  <c r="AG182" i="12"/>
  <c r="AI182" i="12"/>
  <c r="AK182" i="12"/>
  <c r="AM182" i="12"/>
  <c r="Y183" i="12"/>
  <c r="AA183" i="12"/>
  <c r="AC183" i="12"/>
  <c r="AE183" i="12"/>
  <c r="AG183" i="12"/>
  <c r="AI183" i="12"/>
  <c r="AK183" i="12"/>
  <c r="AM183" i="12"/>
  <c r="W183" i="12"/>
  <c r="U183" i="12"/>
  <c r="W182" i="12"/>
  <c r="W181" i="12"/>
  <c r="W180" i="12"/>
  <c r="W179" i="12"/>
  <c r="W166" i="12"/>
  <c r="W165" i="12"/>
  <c r="W164" i="12"/>
  <c r="W161" i="12"/>
  <c r="W157" i="12"/>
  <c r="W156" i="12"/>
  <c r="W155" i="12"/>
  <c r="W151" i="12"/>
  <c r="W150" i="12"/>
  <c r="W149" i="12"/>
  <c r="AM103" i="12"/>
  <c r="AK103" i="12"/>
  <c r="AM102" i="12"/>
  <c r="AK102" i="12"/>
  <c r="AM95" i="12"/>
  <c r="AM90" i="12"/>
  <c r="AM88" i="12"/>
  <c r="AM86" i="12"/>
  <c r="AM85" i="12"/>
  <c r="AK85" i="12"/>
  <c r="AM84" i="12"/>
  <c r="AK84" i="12"/>
  <c r="AM81" i="12"/>
  <c r="AM78" i="12"/>
  <c r="AM77" i="12"/>
  <c r="AK77" i="12"/>
  <c r="AM76" i="12"/>
  <c r="AK76" i="12"/>
  <c r="AM75" i="12"/>
  <c r="AK75" i="12"/>
  <c r="AM72" i="12"/>
  <c r="AM71" i="12"/>
  <c r="AK71" i="12"/>
  <c r="AM70" i="12"/>
  <c r="AK70" i="12"/>
  <c r="AM69" i="12"/>
  <c r="AK69" i="12"/>
  <c r="AI103" i="12"/>
  <c r="AG103" i="12"/>
  <c r="AE103" i="12"/>
  <c r="AC103" i="12"/>
  <c r="AA103" i="12"/>
  <c r="Y103" i="12"/>
  <c r="W103" i="12"/>
  <c r="U103" i="12"/>
  <c r="AI102" i="12"/>
  <c r="AG102" i="12"/>
  <c r="AE102" i="12"/>
  <c r="AC102" i="12"/>
  <c r="AA102" i="12"/>
  <c r="Y102" i="12"/>
  <c r="W102" i="12"/>
  <c r="U102" i="12"/>
  <c r="AI95" i="12"/>
  <c r="AA95" i="12"/>
  <c r="AI90" i="12"/>
  <c r="AA90" i="12"/>
  <c r="AI88" i="12"/>
  <c r="AA88" i="12"/>
  <c r="AI86" i="12"/>
  <c r="AA86" i="12"/>
  <c r="AI85" i="12"/>
  <c r="AG85" i="12"/>
  <c r="AE85" i="12"/>
  <c r="AC85" i="12"/>
  <c r="AA85" i="12"/>
  <c r="Y85" i="12"/>
  <c r="W85" i="12"/>
  <c r="U85" i="12"/>
  <c r="AI84" i="12"/>
  <c r="AG84" i="12"/>
  <c r="AE84" i="12"/>
  <c r="AC84" i="12"/>
  <c r="AA84" i="12"/>
  <c r="Y84" i="12"/>
  <c r="W84" i="12"/>
  <c r="U84" i="12"/>
  <c r="AI81" i="12"/>
  <c r="AA81" i="12"/>
  <c r="AI78" i="12"/>
  <c r="AA78" i="12"/>
  <c r="AI77" i="12"/>
  <c r="AG77" i="12"/>
  <c r="AE77" i="12"/>
  <c r="AC77" i="12"/>
  <c r="AA77" i="12"/>
  <c r="Y77" i="12"/>
  <c r="W77" i="12"/>
  <c r="U77" i="12"/>
  <c r="AI76" i="12"/>
  <c r="AG76" i="12"/>
  <c r="AE76" i="12"/>
  <c r="AC76" i="12"/>
  <c r="AA76" i="12"/>
  <c r="Y76" i="12"/>
  <c r="W76" i="12"/>
  <c r="U76" i="12"/>
  <c r="AI75" i="12"/>
  <c r="AG75" i="12"/>
  <c r="AE75" i="12"/>
  <c r="AC75" i="12"/>
  <c r="AA75" i="12"/>
  <c r="Y75" i="12"/>
  <c r="W75" i="12"/>
  <c r="U75" i="12"/>
  <c r="AI72" i="12"/>
  <c r="AA72" i="12"/>
  <c r="AI71" i="12"/>
  <c r="AG71" i="12"/>
  <c r="AE71" i="12"/>
  <c r="AC71" i="12"/>
  <c r="AA71" i="12"/>
  <c r="Y71" i="12"/>
  <c r="W71" i="12"/>
  <c r="U71" i="12"/>
  <c r="AI70" i="12"/>
  <c r="AG70" i="12"/>
  <c r="AE70" i="12"/>
  <c r="AC70" i="12"/>
  <c r="AA70" i="12"/>
  <c r="Y70" i="12"/>
  <c r="W70" i="12"/>
  <c r="U70" i="12"/>
  <c r="AI69" i="12"/>
  <c r="AG69" i="12"/>
  <c r="AE69" i="12"/>
  <c r="AC69" i="12"/>
  <c r="AA69" i="12"/>
  <c r="Y69" i="12"/>
  <c r="W69" i="12"/>
  <c r="U69" i="12"/>
  <c r="AM136" i="12"/>
  <c r="AI136" i="12"/>
  <c r="AM134" i="12"/>
  <c r="AK134" i="12"/>
  <c r="AI134" i="12"/>
  <c r="AM132" i="12"/>
  <c r="AI132" i="12"/>
  <c r="AM129" i="12"/>
  <c r="AI129" i="12"/>
  <c r="AM126" i="12"/>
  <c r="AI126" i="12"/>
  <c r="AM125" i="12"/>
  <c r="AK125" i="12"/>
  <c r="AI125" i="12"/>
  <c r="AM124" i="12"/>
  <c r="AK124" i="12"/>
  <c r="AI124" i="12"/>
  <c r="AM123" i="12"/>
  <c r="AK123" i="12"/>
  <c r="AI123" i="12"/>
  <c r="AM120" i="12"/>
  <c r="AK120" i="12"/>
  <c r="AI120" i="12"/>
  <c r="AM117" i="12"/>
  <c r="AI117" i="12"/>
  <c r="AM116" i="12"/>
  <c r="AK116" i="12"/>
  <c r="AI116" i="12"/>
  <c r="AM115" i="12"/>
  <c r="AK115" i="12"/>
  <c r="AI115" i="12"/>
  <c r="AM114" i="12"/>
  <c r="AK114" i="12"/>
  <c r="AI114" i="12"/>
  <c r="AM111" i="12"/>
  <c r="AI111" i="12"/>
  <c r="AM110" i="12"/>
  <c r="AK110" i="12"/>
  <c r="AI110" i="12"/>
  <c r="AM109" i="12"/>
  <c r="AK109" i="12"/>
  <c r="AI109" i="12"/>
  <c r="AM108" i="12"/>
  <c r="AK108" i="12"/>
  <c r="AI108" i="12"/>
  <c r="AA136" i="12"/>
  <c r="AA134" i="12"/>
  <c r="AA132" i="12"/>
  <c r="AA129" i="12"/>
  <c r="AA126" i="12"/>
  <c r="AG125" i="12"/>
  <c r="AE125" i="12"/>
  <c r="AC125" i="12"/>
  <c r="AA125" i="12"/>
  <c r="W125" i="12"/>
  <c r="U125" i="12"/>
  <c r="AG124" i="12"/>
  <c r="AE124" i="12"/>
  <c r="AC124" i="12"/>
  <c r="AA124" i="12"/>
  <c r="Y124" i="12"/>
  <c r="W124" i="12"/>
  <c r="U124" i="12"/>
  <c r="AG123" i="12"/>
  <c r="AE123" i="12"/>
  <c r="AC123" i="12"/>
  <c r="AA123" i="12"/>
  <c r="Y123" i="12"/>
  <c r="W123" i="12"/>
  <c r="U123" i="12"/>
  <c r="AG120" i="12"/>
  <c r="AC120" i="12"/>
  <c r="AA120" i="12"/>
  <c r="Y120" i="12"/>
  <c r="W120" i="12"/>
  <c r="U120" i="12"/>
  <c r="AA117" i="12"/>
  <c r="AG116" i="12"/>
  <c r="AE116" i="12"/>
  <c r="AC116" i="12"/>
  <c r="AA116" i="12"/>
  <c r="Y116" i="12"/>
  <c r="W116" i="12"/>
  <c r="U116" i="12"/>
  <c r="AG115" i="12"/>
  <c r="AC115" i="12"/>
  <c r="AA115" i="12"/>
  <c r="Y115" i="12"/>
  <c r="W115" i="12"/>
  <c r="U115" i="12"/>
  <c r="AG114" i="12"/>
  <c r="AC114" i="12"/>
  <c r="AA114" i="12"/>
  <c r="Y114" i="12"/>
  <c r="W114" i="12"/>
  <c r="U114" i="12"/>
  <c r="AA111" i="12"/>
  <c r="AG110" i="12"/>
  <c r="AE110" i="12"/>
  <c r="AC110" i="12"/>
  <c r="AA110" i="12"/>
  <c r="Y110" i="12"/>
  <c r="W110" i="12"/>
  <c r="U110" i="12"/>
  <c r="AG109" i="12"/>
  <c r="AC109" i="12"/>
  <c r="AA109" i="12"/>
  <c r="Y109" i="12"/>
  <c r="W109" i="12"/>
  <c r="U109" i="12"/>
  <c r="AG108" i="12"/>
  <c r="AE108" i="12"/>
  <c r="AC108" i="12"/>
  <c r="AA108" i="12"/>
  <c r="Y108" i="12"/>
  <c r="W108" i="12"/>
  <c r="U108" i="12"/>
  <c r="AM40" i="12"/>
  <c r="AK40" i="12"/>
  <c r="AI40" i="12"/>
  <c r="AM39" i="12"/>
  <c r="AK39" i="12"/>
  <c r="AI39" i="12"/>
  <c r="AM38" i="12"/>
  <c r="AK38" i="12"/>
  <c r="AI38" i="12"/>
  <c r="AM37" i="12"/>
  <c r="AK37" i="12"/>
  <c r="AI37" i="12"/>
  <c r="AM36" i="12"/>
  <c r="AK36" i="12"/>
  <c r="AI36" i="12"/>
  <c r="AM35" i="12"/>
  <c r="AK35" i="12"/>
  <c r="AI35" i="12"/>
  <c r="AM34" i="12"/>
  <c r="AK34" i="12"/>
  <c r="AI34" i="12"/>
  <c r="AM33" i="12"/>
  <c r="AK33" i="12"/>
  <c r="AI33" i="12"/>
  <c r="AM32" i="12"/>
  <c r="AK32" i="12"/>
  <c r="AI32" i="12"/>
  <c r="AM30" i="12"/>
  <c r="AI30" i="12"/>
  <c r="AM28" i="12"/>
  <c r="AI28" i="12"/>
  <c r="AM27" i="12"/>
  <c r="AI27" i="12"/>
  <c r="AM26" i="12"/>
  <c r="AI26" i="12"/>
  <c r="AM23" i="12"/>
  <c r="AI23" i="12"/>
  <c r="AM20" i="12"/>
  <c r="AI20" i="12"/>
  <c r="AM18" i="12"/>
  <c r="AI18" i="12"/>
  <c r="AM16" i="12"/>
  <c r="AK16" i="12"/>
  <c r="AI16" i="12"/>
  <c r="AM14" i="12"/>
  <c r="AM12" i="12"/>
  <c r="AM11" i="12"/>
  <c r="AK11" i="12"/>
  <c r="AI11" i="12"/>
  <c r="AM10" i="12"/>
  <c r="AK10" i="12"/>
  <c r="AI10" i="12"/>
  <c r="AM9" i="12"/>
  <c r="AK9" i="12"/>
  <c r="AI9" i="12"/>
  <c r="AM8" i="12"/>
  <c r="AK8" i="12"/>
  <c r="AI8" i="12"/>
  <c r="AM7" i="12"/>
  <c r="AK7" i="12"/>
  <c r="AI7" i="12"/>
  <c r="AM6" i="12"/>
  <c r="AK6" i="12"/>
  <c r="AI6" i="12"/>
  <c r="AM5" i="12"/>
  <c r="AI5" i="12"/>
  <c r="AM4" i="12"/>
  <c r="AI4" i="12"/>
  <c r="AM3" i="12"/>
  <c r="AI3" i="12"/>
  <c r="AM58" i="12"/>
  <c r="AI58" i="12"/>
  <c r="AM57" i="12"/>
  <c r="AK57" i="12"/>
  <c r="AI57" i="12"/>
  <c r="AM56" i="12"/>
  <c r="AK56" i="12"/>
  <c r="AI56" i="12"/>
  <c r="AM55" i="12"/>
  <c r="AK55" i="12"/>
  <c r="AI55" i="12"/>
  <c r="AM54" i="12"/>
  <c r="AK54" i="12"/>
  <c r="AI54" i="12"/>
  <c r="AM53" i="12"/>
  <c r="AK53" i="12"/>
  <c r="AI53" i="12"/>
  <c r="AM52" i="12"/>
  <c r="AK52" i="12"/>
  <c r="AI52" i="12"/>
  <c r="AM51" i="12"/>
  <c r="AK51" i="12"/>
  <c r="AI51" i="12"/>
  <c r="AM50" i="12"/>
  <c r="AK50" i="12"/>
  <c r="AI50" i="12"/>
  <c r="AM49" i="12"/>
  <c r="AK49" i="12"/>
  <c r="AI49" i="12"/>
  <c r="AM48" i="12"/>
  <c r="AK48" i="12"/>
  <c r="AI48" i="12"/>
  <c r="AM47" i="12"/>
  <c r="AK47" i="12"/>
  <c r="AI47" i="12"/>
  <c r="AM46" i="12"/>
  <c r="AK46" i="12"/>
  <c r="AI46" i="12"/>
  <c r="AM45" i="12"/>
  <c r="AK45" i="12"/>
  <c r="AI45" i="12"/>
  <c r="AM44" i="12"/>
  <c r="AK44" i="12"/>
  <c r="AI44" i="12"/>
  <c r="AM43" i="12"/>
  <c r="AK43" i="12"/>
  <c r="AI43" i="12"/>
  <c r="AM42" i="12"/>
  <c r="AK42" i="12"/>
  <c r="AI42" i="12"/>
  <c r="AM41" i="12"/>
  <c r="AK41" i="12"/>
  <c r="AI41" i="12"/>
  <c r="AA58" i="12"/>
  <c r="U58" i="12"/>
  <c r="AG57" i="12"/>
  <c r="AE57" i="12"/>
  <c r="AC57" i="12"/>
  <c r="AA57" i="12"/>
  <c r="Y57" i="12"/>
  <c r="W57" i="12"/>
  <c r="U57" i="12"/>
  <c r="AG56" i="12"/>
  <c r="AE56" i="12"/>
  <c r="AC56" i="12"/>
  <c r="AA56" i="12"/>
  <c r="Y56" i="12"/>
  <c r="W56" i="12"/>
  <c r="U56" i="12"/>
  <c r="AG55" i="12"/>
  <c r="AE55" i="12"/>
  <c r="AC55" i="12"/>
  <c r="AA55" i="12"/>
  <c r="Y55" i="12"/>
  <c r="W55" i="12"/>
  <c r="U55" i="12"/>
  <c r="AG54" i="12"/>
  <c r="AE54" i="12"/>
  <c r="AC54" i="12"/>
  <c r="AA54" i="12"/>
  <c r="Y54" i="12"/>
  <c r="W54" i="12"/>
  <c r="U54" i="12"/>
  <c r="AG53" i="12"/>
  <c r="AE53" i="12"/>
  <c r="AC53" i="12"/>
  <c r="AA53" i="12"/>
  <c r="Y53" i="12"/>
  <c r="W53" i="12"/>
  <c r="U53" i="12"/>
  <c r="AG52" i="12"/>
  <c r="AE52" i="12"/>
  <c r="AC52" i="12"/>
  <c r="AA52" i="12"/>
  <c r="Y52" i="12"/>
  <c r="W52" i="12"/>
  <c r="U52" i="12"/>
  <c r="AG51" i="12"/>
  <c r="AE51" i="12"/>
  <c r="AC51" i="12"/>
  <c r="AA51" i="12"/>
  <c r="Y51" i="12"/>
  <c r="W51" i="12"/>
  <c r="U51" i="12"/>
  <c r="AG50" i="12"/>
  <c r="AE50" i="12"/>
  <c r="AC50" i="12"/>
  <c r="AA50" i="12"/>
  <c r="Y50" i="12"/>
  <c r="W50" i="12"/>
  <c r="U50" i="12"/>
  <c r="AG49" i="12"/>
  <c r="AE49" i="12"/>
  <c r="AC49" i="12"/>
  <c r="AA49" i="12"/>
  <c r="Y49" i="12"/>
  <c r="W49" i="12"/>
  <c r="U49" i="12"/>
  <c r="AG48" i="12"/>
  <c r="AE48" i="12"/>
  <c r="AC48" i="12"/>
  <c r="AA48" i="12"/>
  <c r="Y48" i="12"/>
  <c r="W48" i="12"/>
  <c r="U48" i="12"/>
  <c r="AG47" i="12"/>
  <c r="AE47" i="12"/>
  <c r="AC47" i="12"/>
  <c r="AA47" i="12"/>
  <c r="Y47" i="12"/>
  <c r="W47" i="12"/>
  <c r="U47" i="12"/>
  <c r="AG46" i="12"/>
  <c r="AE46" i="12"/>
  <c r="AC46" i="12"/>
  <c r="AA46" i="12"/>
  <c r="Y46" i="12"/>
  <c r="W46" i="12"/>
  <c r="U46" i="12"/>
  <c r="AG45" i="12"/>
  <c r="AE45" i="12"/>
  <c r="AC45" i="12"/>
  <c r="AA45" i="12"/>
  <c r="Y45" i="12"/>
  <c r="W45" i="12"/>
  <c r="U45" i="12"/>
  <c r="AG44" i="12"/>
  <c r="AE44" i="12"/>
  <c r="AC44" i="12"/>
  <c r="AA44" i="12"/>
  <c r="Y44" i="12"/>
  <c r="W44" i="12"/>
  <c r="U44" i="12"/>
  <c r="AG43" i="12"/>
  <c r="AE43" i="12"/>
  <c r="AC43" i="12"/>
  <c r="AA43" i="12"/>
  <c r="Y43" i="12"/>
  <c r="W43" i="12"/>
  <c r="U43" i="12"/>
  <c r="AA42" i="12"/>
  <c r="AG41" i="12"/>
  <c r="AE41" i="12"/>
  <c r="AC41" i="12"/>
  <c r="AA41" i="12"/>
  <c r="Y41" i="12"/>
  <c r="W41" i="12"/>
  <c r="U41" i="12"/>
  <c r="AG40" i="12"/>
  <c r="AE40" i="12"/>
  <c r="AC40" i="12"/>
  <c r="AA40" i="12"/>
  <c r="Y40" i="12"/>
  <c r="W40" i="12"/>
  <c r="U40" i="12"/>
  <c r="AG39" i="12"/>
  <c r="AE39" i="12"/>
  <c r="AC39" i="12"/>
  <c r="AA39" i="12"/>
  <c r="Y39" i="12"/>
  <c r="W39" i="12"/>
  <c r="U39" i="12"/>
  <c r="AG38" i="12"/>
  <c r="AE38" i="12"/>
  <c r="AC38" i="12"/>
  <c r="AA38" i="12"/>
  <c r="Y38" i="12"/>
  <c r="W38" i="12"/>
  <c r="U38" i="12"/>
  <c r="AG37" i="12"/>
  <c r="AE37" i="12"/>
  <c r="AC37" i="12"/>
  <c r="AA37" i="12"/>
  <c r="Y37" i="12"/>
  <c r="W37" i="12"/>
  <c r="U37" i="12"/>
  <c r="AG36" i="12"/>
  <c r="AE36" i="12"/>
  <c r="AC36" i="12"/>
  <c r="AA36" i="12"/>
  <c r="Y36" i="12"/>
  <c r="W36" i="12"/>
  <c r="U36" i="12"/>
  <c r="AG35" i="12"/>
  <c r="AE35" i="12"/>
  <c r="AC35" i="12"/>
  <c r="AA35" i="12"/>
  <c r="Y35" i="12"/>
  <c r="W35" i="12"/>
  <c r="U35" i="12"/>
  <c r="AG34" i="12"/>
  <c r="AE34" i="12"/>
  <c r="AC34" i="12"/>
  <c r="AA34" i="12"/>
  <c r="Y34" i="12"/>
  <c r="W34" i="12"/>
  <c r="U34" i="12"/>
  <c r="AG33" i="12"/>
  <c r="AE33" i="12"/>
  <c r="AC33" i="12"/>
  <c r="AA33" i="12"/>
  <c r="Y33" i="12"/>
  <c r="W33" i="12"/>
  <c r="U33" i="12"/>
  <c r="AG32" i="12"/>
  <c r="AE32" i="12"/>
  <c r="AC32" i="12"/>
  <c r="AA32" i="12"/>
  <c r="Y32" i="12"/>
  <c r="W32" i="12"/>
  <c r="U32" i="12"/>
  <c r="AA30" i="12"/>
  <c r="AA28" i="12"/>
  <c r="AA27" i="12"/>
  <c r="AA26" i="12"/>
  <c r="AA23" i="12"/>
  <c r="AA20" i="12"/>
  <c r="AA18" i="12"/>
  <c r="AA16" i="12"/>
  <c r="AA12" i="12"/>
  <c r="AG11" i="12"/>
  <c r="AE11" i="12"/>
  <c r="AC11" i="12"/>
  <c r="AA11" i="12"/>
  <c r="Y11" i="12"/>
  <c r="W11" i="12"/>
  <c r="U11" i="12"/>
  <c r="AG10" i="12"/>
  <c r="AE10" i="12"/>
  <c r="AC10" i="12"/>
  <c r="AA10" i="12"/>
  <c r="Y10" i="12"/>
  <c r="W10" i="12"/>
  <c r="U10" i="12"/>
  <c r="AG9" i="12"/>
  <c r="AE9" i="12"/>
  <c r="AC9" i="12"/>
  <c r="AA9" i="12"/>
  <c r="Y9" i="12"/>
  <c r="W9" i="12"/>
  <c r="U9" i="12"/>
  <c r="AG8" i="12"/>
  <c r="AE8" i="12"/>
  <c r="AC8" i="12"/>
  <c r="AA8" i="12"/>
  <c r="Y8" i="12"/>
  <c r="W8" i="12"/>
  <c r="U8" i="12"/>
  <c r="AG7" i="12"/>
  <c r="AE7" i="12"/>
  <c r="AC7" i="12"/>
  <c r="AA7" i="12"/>
  <c r="Y7" i="12"/>
  <c r="W7" i="12"/>
  <c r="U7" i="12"/>
  <c r="AG6" i="12"/>
  <c r="AE6" i="12"/>
  <c r="AC6" i="12"/>
  <c r="AA6" i="12"/>
  <c r="Y6" i="12"/>
  <c r="W6" i="12"/>
  <c r="U6" i="12"/>
  <c r="AA5" i="12"/>
  <c r="AA4" i="12"/>
  <c r="AA3" i="12"/>
  <c r="AL147" i="12"/>
  <c r="AJ147" i="12"/>
  <c r="AH147" i="12"/>
  <c r="AF147" i="12"/>
  <c r="AD147" i="12"/>
  <c r="AB147" i="12"/>
  <c r="Z147" i="12"/>
  <c r="X147" i="12"/>
  <c r="V147" i="12"/>
  <c r="T147" i="12"/>
  <c r="AL106" i="12"/>
  <c r="AJ106" i="12"/>
  <c r="AH106" i="12"/>
  <c r="AF106" i="12"/>
  <c r="AD106" i="12"/>
  <c r="AB106" i="12"/>
  <c r="Z106" i="12"/>
  <c r="X106" i="12"/>
  <c r="V106" i="12"/>
  <c r="T106" i="12"/>
  <c r="AL67" i="12"/>
  <c r="AJ67" i="12"/>
  <c r="AH67" i="12"/>
  <c r="AF67" i="12"/>
  <c r="AD67" i="12"/>
  <c r="AB67" i="12"/>
  <c r="Z67" i="12"/>
  <c r="X67" i="12"/>
  <c r="V67" i="12"/>
  <c r="T67" i="12"/>
  <c r="AL1" i="12"/>
  <c r="AJ1" i="12"/>
  <c r="AH1" i="12"/>
  <c r="AF1" i="12"/>
  <c r="AD1" i="12"/>
  <c r="AB1" i="12"/>
  <c r="Z1" i="12"/>
  <c r="X1" i="12"/>
  <c r="V1" i="12"/>
  <c r="T1" i="12"/>
  <c r="R147" i="12"/>
  <c r="P147" i="12"/>
  <c r="N147" i="12"/>
  <c r="L147" i="12"/>
  <c r="J147" i="12"/>
  <c r="H147" i="12"/>
  <c r="F147" i="12"/>
  <c r="D147" i="12"/>
  <c r="R106" i="12"/>
  <c r="P106" i="12"/>
  <c r="N106" i="12"/>
  <c r="L106" i="12"/>
  <c r="J106" i="12"/>
  <c r="H106" i="12"/>
  <c r="F106" i="12"/>
  <c r="D106" i="12"/>
  <c r="R67" i="12"/>
  <c r="P67" i="12"/>
  <c r="N67" i="12"/>
  <c r="L67" i="12"/>
  <c r="J67" i="12"/>
  <c r="H67" i="12"/>
  <c r="F67" i="12"/>
  <c r="D67" i="12"/>
  <c r="R1" i="12"/>
  <c r="P1" i="12"/>
  <c r="N1" i="12"/>
  <c r="L1" i="12"/>
  <c r="J1" i="12"/>
  <c r="H1" i="12"/>
  <c r="D1" i="12"/>
  <c r="F1" i="12"/>
  <c r="C177" i="12"/>
  <c r="S177" i="12" s="1"/>
  <c r="C175" i="12"/>
  <c r="O175" i="12" s="1"/>
  <c r="C173" i="12"/>
  <c r="S173" i="12" s="1"/>
  <c r="Q170" i="12"/>
  <c r="K170" i="12"/>
  <c r="G170" i="12"/>
  <c r="E170" i="12"/>
  <c r="C169" i="12"/>
  <c r="Q167" i="12"/>
  <c r="G167" i="12"/>
  <c r="E167" i="12"/>
  <c r="S166" i="12"/>
  <c r="Q166" i="12"/>
  <c r="O166" i="12"/>
  <c r="G166" i="12"/>
  <c r="E166" i="12"/>
  <c r="S165" i="12"/>
  <c r="Q165" i="12"/>
  <c r="O165" i="12"/>
  <c r="K165" i="12"/>
  <c r="G165" i="12"/>
  <c r="E165" i="12"/>
  <c r="S164" i="12"/>
  <c r="Q164" i="12"/>
  <c r="O164" i="12"/>
  <c r="K164" i="12"/>
  <c r="G164" i="12"/>
  <c r="E164" i="12"/>
  <c r="S161" i="12"/>
  <c r="Q161" i="12"/>
  <c r="O161" i="12"/>
  <c r="K161" i="12"/>
  <c r="G161" i="12"/>
  <c r="E161" i="12"/>
  <c r="Q158" i="12"/>
  <c r="G158" i="12"/>
  <c r="E158" i="12"/>
  <c r="S157" i="12"/>
  <c r="Q157" i="12"/>
  <c r="O157" i="12"/>
  <c r="K157" i="12"/>
  <c r="G157" i="12"/>
  <c r="E157" i="12"/>
  <c r="S156" i="12"/>
  <c r="Q156" i="12"/>
  <c r="O156" i="12"/>
  <c r="K156" i="12"/>
  <c r="G156" i="12"/>
  <c r="E156" i="12"/>
  <c r="S155" i="12"/>
  <c r="Q155" i="12"/>
  <c r="O155" i="12"/>
  <c r="K155" i="12"/>
  <c r="G155" i="12"/>
  <c r="E155" i="12"/>
  <c r="Q152" i="12"/>
  <c r="G152" i="12"/>
  <c r="E152" i="12"/>
  <c r="S151" i="12"/>
  <c r="Q151" i="12"/>
  <c r="O151" i="12"/>
  <c r="K151" i="12"/>
  <c r="G151" i="12"/>
  <c r="E151" i="12"/>
  <c r="S150" i="12"/>
  <c r="Q150" i="12"/>
  <c r="O150" i="12"/>
  <c r="K150" i="12"/>
  <c r="G150" i="12"/>
  <c r="E150" i="12"/>
  <c r="S149" i="12"/>
  <c r="Q149" i="12"/>
  <c r="O149" i="12"/>
  <c r="K149" i="12"/>
  <c r="G149" i="12"/>
  <c r="E149" i="12"/>
  <c r="E3" i="12"/>
  <c r="G3" i="12"/>
  <c r="Q3" i="12"/>
  <c r="E4" i="12"/>
  <c r="G4" i="12"/>
  <c r="Q4" i="12"/>
  <c r="E5" i="12"/>
  <c r="G5" i="12"/>
  <c r="Q5" i="12"/>
  <c r="E6" i="12"/>
  <c r="G6" i="12"/>
  <c r="I6" i="12"/>
  <c r="K6" i="12"/>
  <c r="M6" i="12"/>
  <c r="O6" i="12"/>
  <c r="Q6" i="12"/>
  <c r="S6" i="12"/>
  <c r="E7" i="12"/>
  <c r="G7" i="12"/>
  <c r="I7" i="12"/>
  <c r="K7" i="12"/>
  <c r="M7" i="12"/>
  <c r="O7" i="12"/>
  <c r="Q7" i="12"/>
  <c r="S7" i="12"/>
  <c r="E8" i="12"/>
  <c r="G8" i="12"/>
  <c r="I8" i="12"/>
  <c r="K8" i="12"/>
  <c r="M8" i="12"/>
  <c r="O8" i="12"/>
  <c r="Q8" i="12"/>
  <c r="S8" i="12"/>
  <c r="E9" i="12"/>
  <c r="G9" i="12"/>
  <c r="I9" i="12"/>
  <c r="K9" i="12"/>
  <c r="M9" i="12"/>
  <c r="O9" i="12"/>
  <c r="Q9" i="12"/>
  <c r="S9" i="12"/>
  <c r="E10" i="12"/>
  <c r="G10" i="12"/>
  <c r="I10" i="12"/>
  <c r="K10" i="12"/>
  <c r="M10" i="12"/>
  <c r="O10" i="12"/>
  <c r="Q10" i="12"/>
  <c r="S10" i="12"/>
  <c r="E11" i="12"/>
  <c r="G11" i="12"/>
  <c r="I11" i="12"/>
  <c r="K11" i="12"/>
  <c r="M11" i="12"/>
  <c r="O11" i="12"/>
  <c r="Q11" i="12"/>
  <c r="S11" i="12"/>
  <c r="E14" i="12"/>
  <c r="G14" i="12"/>
  <c r="Q14" i="12"/>
  <c r="E12" i="12"/>
  <c r="G12" i="12"/>
  <c r="Q12" i="12"/>
  <c r="E16" i="12"/>
  <c r="G16" i="12"/>
  <c r="Q16" i="12"/>
  <c r="E18" i="12"/>
  <c r="G18" i="12"/>
  <c r="Q18" i="12"/>
  <c r="E20" i="12"/>
  <c r="G20" i="12"/>
  <c r="K20" i="12"/>
  <c r="Q20" i="12"/>
  <c r="E23" i="12"/>
  <c r="G23" i="12"/>
  <c r="K23" i="12"/>
  <c r="Q23" i="12"/>
  <c r="E26" i="12"/>
  <c r="G26" i="12"/>
  <c r="Q26" i="12"/>
  <c r="E27" i="12"/>
  <c r="G27" i="12"/>
  <c r="Q27" i="12"/>
  <c r="S27" i="12"/>
  <c r="E28" i="12"/>
  <c r="G28" i="12"/>
  <c r="Q28" i="12"/>
  <c r="E30" i="12"/>
  <c r="G30" i="12"/>
  <c r="Q30" i="12"/>
  <c r="E32" i="12"/>
  <c r="G32" i="12"/>
  <c r="I32" i="12"/>
  <c r="K32" i="12"/>
  <c r="M32" i="12"/>
  <c r="O32" i="12"/>
  <c r="Q32" i="12"/>
  <c r="S32" i="12"/>
  <c r="E33" i="12"/>
  <c r="G33" i="12"/>
  <c r="I33" i="12"/>
  <c r="K33" i="12"/>
  <c r="M33" i="12"/>
  <c r="O33" i="12"/>
  <c r="Q33" i="12"/>
  <c r="S33" i="12"/>
  <c r="E34" i="12"/>
  <c r="G34" i="12"/>
  <c r="I34" i="12"/>
  <c r="K34" i="12"/>
  <c r="M34" i="12"/>
  <c r="O34" i="12"/>
  <c r="Q34" i="12"/>
  <c r="S34" i="12"/>
  <c r="E35" i="12"/>
  <c r="G35" i="12"/>
  <c r="I35" i="12"/>
  <c r="K35" i="12"/>
  <c r="M35" i="12"/>
  <c r="O35" i="12"/>
  <c r="Q35" i="12"/>
  <c r="S35" i="12"/>
  <c r="E36" i="12"/>
  <c r="G36" i="12"/>
  <c r="I36" i="12"/>
  <c r="K36" i="12"/>
  <c r="M36" i="12"/>
  <c r="O36" i="12"/>
  <c r="Q36" i="12"/>
  <c r="S36" i="12"/>
  <c r="E37" i="12"/>
  <c r="G37" i="12"/>
  <c r="I37" i="12"/>
  <c r="K37" i="12"/>
  <c r="M37" i="12"/>
  <c r="O37" i="12"/>
  <c r="Q37" i="12"/>
  <c r="S37" i="12"/>
  <c r="E38" i="12"/>
  <c r="G38" i="12"/>
  <c r="I38" i="12"/>
  <c r="K38" i="12"/>
  <c r="M38" i="12"/>
  <c r="O38" i="12"/>
  <c r="Q38" i="12"/>
  <c r="S38" i="12"/>
  <c r="E39" i="12"/>
  <c r="G39" i="12"/>
  <c r="I39" i="12"/>
  <c r="K39" i="12"/>
  <c r="M39" i="12"/>
  <c r="O39" i="12"/>
  <c r="Q39" i="12"/>
  <c r="S39" i="12"/>
  <c r="E40" i="12"/>
  <c r="G40" i="12"/>
  <c r="I40" i="12"/>
  <c r="K40" i="12"/>
  <c r="M40" i="12"/>
  <c r="O40" i="12"/>
  <c r="Q40" i="12"/>
  <c r="S40" i="12"/>
  <c r="E41" i="12"/>
  <c r="G41" i="12"/>
  <c r="I41" i="12"/>
  <c r="K41" i="12"/>
  <c r="M41" i="12"/>
  <c r="O41" i="12"/>
  <c r="Q41" i="12"/>
  <c r="S41" i="12"/>
  <c r="E42" i="12"/>
  <c r="G42" i="12"/>
  <c r="K42" i="12"/>
  <c r="Q42" i="12"/>
  <c r="E43" i="12"/>
  <c r="G43" i="12"/>
  <c r="I43" i="12"/>
  <c r="K43" i="12"/>
  <c r="M43" i="12"/>
  <c r="O43" i="12"/>
  <c r="Q43" i="12"/>
  <c r="S43" i="12"/>
  <c r="E44" i="12"/>
  <c r="G44" i="12"/>
  <c r="I44" i="12"/>
  <c r="K44" i="12"/>
  <c r="M44" i="12"/>
  <c r="O44" i="12"/>
  <c r="Q44" i="12"/>
  <c r="S44" i="12"/>
  <c r="E45" i="12"/>
  <c r="G45" i="12"/>
  <c r="I45" i="12"/>
  <c r="K45" i="12"/>
  <c r="M45" i="12"/>
  <c r="O45" i="12"/>
  <c r="Q45" i="12"/>
  <c r="S45" i="12"/>
  <c r="E46" i="12"/>
  <c r="G46" i="12"/>
  <c r="I46" i="12"/>
  <c r="K46" i="12"/>
  <c r="M46" i="12"/>
  <c r="O46" i="12"/>
  <c r="Q46" i="12"/>
  <c r="S46" i="12"/>
  <c r="E47" i="12"/>
  <c r="G47" i="12"/>
  <c r="I47" i="12"/>
  <c r="K47" i="12"/>
  <c r="M47" i="12"/>
  <c r="O47" i="12"/>
  <c r="Q47" i="12"/>
  <c r="S47" i="12"/>
  <c r="E48" i="12"/>
  <c r="G48" i="12"/>
  <c r="I48" i="12"/>
  <c r="K48" i="12"/>
  <c r="M48" i="12"/>
  <c r="O48" i="12"/>
  <c r="Q48" i="12"/>
  <c r="S48" i="12"/>
  <c r="E49" i="12"/>
  <c r="G49" i="12"/>
  <c r="I49" i="12"/>
  <c r="K49" i="12"/>
  <c r="M49" i="12"/>
  <c r="O49" i="12"/>
  <c r="Q49" i="12"/>
  <c r="S49" i="12"/>
  <c r="E50" i="12"/>
  <c r="G50" i="12"/>
  <c r="I50" i="12"/>
  <c r="K50" i="12"/>
  <c r="M50" i="12"/>
  <c r="O50" i="12"/>
  <c r="Q50" i="12"/>
  <c r="S50" i="12"/>
  <c r="E51" i="12"/>
  <c r="G51" i="12"/>
  <c r="I51" i="12"/>
  <c r="K51" i="12"/>
  <c r="M51" i="12"/>
  <c r="O51" i="12"/>
  <c r="Q51" i="12"/>
  <c r="S51" i="12"/>
  <c r="E52" i="12"/>
  <c r="G52" i="12"/>
  <c r="I52" i="12"/>
  <c r="K52" i="12"/>
  <c r="M52" i="12"/>
  <c r="O52" i="12"/>
  <c r="Q52" i="12"/>
  <c r="S52" i="12"/>
  <c r="E53" i="12"/>
  <c r="G53" i="12"/>
  <c r="I53" i="12"/>
  <c r="K53" i="12"/>
  <c r="M53" i="12"/>
  <c r="O53" i="12"/>
  <c r="Q53" i="12"/>
  <c r="S53" i="12"/>
  <c r="E54" i="12"/>
  <c r="G54" i="12"/>
  <c r="I54" i="12"/>
  <c r="K54" i="12"/>
  <c r="M54" i="12"/>
  <c r="O54" i="12"/>
  <c r="Q54" i="12"/>
  <c r="S54" i="12"/>
  <c r="E55" i="12"/>
  <c r="G55" i="12"/>
  <c r="I55" i="12"/>
  <c r="K55" i="12"/>
  <c r="M55" i="12"/>
  <c r="O55" i="12"/>
  <c r="Q55" i="12"/>
  <c r="S55" i="12"/>
  <c r="E56" i="12"/>
  <c r="G56" i="12"/>
  <c r="I56" i="12"/>
  <c r="K56" i="12"/>
  <c r="M56" i="12"/>
  <c r="O56" i="12"/>
  <c r="Q56" i="12"/>
  <c r="S56" i="12"/>
  <c r="E57" i="12"/>
  <c r="G57" i="12"/>
  <c r="I57" i="12"/>
  <c r="K57" i="12"/>
  <c r="M57" i="12"/>
  <c r="O57" i="12"/>
  <c r="Q57" i="12"/>
  <c r="S57" i="12"/>
  <c r="E58" i="12"/>
  <c r="G58" i="12"/>
  <c r="I58" i="12"/>
  <c r="K58" i="12"/>
  <c r="M58" i="12"/>
  <c r="O58" i="12"/>
  <c r="Q58" i="12"/>
  <c r="S58" i="12"/>
  <c r="P1" i="10"/>
  <c r="N1" i="10"/>
  <c r="L1" i="10"/>
  <c r="J1" i="10"/>
  <c r="H1" i="10"/>
  <c r="F1" i="10"/>
  <c r="D1" i="10"/>
  <c r="F18" i="5"/>
  <c r="F19" i="5"/>
  <c r="F22" i="5"/>
  <c r="C97" i="5"/>
  <c r="F97" i="5"/>
  <c r="C18" i="5"/>
  <c r="C19" i="5"/>
  <c r="C20" i="5"/>
  <c r="C22" i="5"/>
  <c r="C26" i="10"/>
  <c r="I26" i="10" s="1"/>
  <c r="C25" i="10"/>
  <c r="K23" i="10" s="1"/>
  <c r="C13" i="10"/>
  <c r="G45" i="15"/>
  <c r="G40" i="15"/>
  <c r="G39" i="15"/>
  <c r="G35" i="15"/>
  <c r="G34" i="15"/>
  <c r="G31" i="15"/>
  <c r="G22" i="15"/>
  <c r="G21" i="15"/>
  <c r="G20" i="15"/>
  <c r="G19" i="15"/>
  <c r="F7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5" i="14"/>
  <c r="E9" i="9"/>
  <c r="E8" i="9"/>
  <c r="E7" i="9"/>
  <c r="B40" i="14"/>
  <c r="A40" i="14"/>
  <c r="B39" i="14"/>
  <c r="A39" i="14"/>
  <c r="B38" i="14"/>
  <c r="A38" i="14"/>
  <c r="B37" i="14"/>
  <c r="A37" i="14"/>
  <c r="B36" i="14"/>
  <c r="A36" i="14"/>
  <c r="B35" i="14"/>
  <c r="A35" i="14"/>
  <c r="B34" i="14"/>
  <c r="A34" i="14"/>
  <c r="B33" i="14"/>
  <c r="A33" i="14"/>
  <c r="B32" i="14"/>
  <c r="A32" i="14"/>
  <c r="B31" i="14"/>
  <c r="A31" i="14"/>
  <c r="B30" i="14"/>
  <c r="A30" i="14"/>
  <c r="B28" i="14"/>
  <c r="A28" i="14"/>
  <c r="B27" i="14"/>
  <c r="A27" i="14"/>
  <c r="F18" i="14"/>
  <c r="F17" i="14"/>
  <c r="F16" i="14"/>
  <c r="F15" i="14"/>
  <c r="F14" i="14"/>
  <c r="F13" i="14"/>
  <c r="F12" i="14"/>
  <c r="F11" i="14"/>
  <c r="F10" i="14"/>
  <c r="F9" i="14"/>
  <c r="F8" i="14"/>
  <c r="F6" i="14"/>
  <c r="F5" i="14"/>
  <c r="E8" i="11"/>
  <c r="D102" i="5"/>
  <c r="B102" i="5"/>
  <c r="D99" i="5" s="1"/>
  <c r="F101" i="5"/>
  <c r="C101" i="5"/>
  <c r="C98" i="5"/>
  <c r="F94" i="5"/>
  <c r="C94" i="5"/>
  <c r="D86" i="5"/>
  <c r="B86" i="5"/>
  <c r="C70" i="5"/>
  <c r="C71" i="5"/>
  <c r="C72" i="5"/>
  <c r="C73" i="5"/>
  <c r="C74" i="5"/>
  <c r="F74" i="5"/>
  <c r="C59" i="5"/>
  <c r="F59" i="5"/>
  <c r="F39" i="5"/>
  <c r="C38" i="5"/>
  <c r="C39" i="5"/>
  <c r="B26" i="13"/>
  <c r="B59" i="13"/>
  <c r="B63" i="13" s="1"/>
  <c r="B36" i="13"/>
  <c r="B30" i="13"/>
  <c r="B32" i="13"/>
  <c r="A37" i="13"/>
  <c r="A28" i="13"/>
  <c r="A30" i="13"/>
  <c r="A31" i="13"/>
  <c r="A32" i="13"/>
  <c r="A34" i="13"/>
  <c r="A36" i="13"/>
  <c r="B18" i="13"/>
  <c r="A19" i="13"/>
  <c r="A20" i="13"/>
  <c r="A21" i="13"/>
  <c r="A22" i="13"/>
  <c r="A23" i="13"/>
  <c r="A24" i="13"/>
  <c r="A25" i="13"/>
  <c r="A26" i="13"/>
  <c r="A18" i="13"/>
  <c r="A16" i="13"/>
  <c r="B13" i="13"/>
  <c r="A14" i="13"/>
  <c r="A13" i="13"/>
  <c r="A11" i="13"/>
  <c r="A8" i="13"/>
  <c r="A6" i="13"/>
  <c r="B48" i="5"/>
  <c r="D48" i="5"/>
  <c r="D61" i="5"/>
  <c r="E10" i="9"/>
  <c r="E124" i="12"/>
  <c r="E125" i="12"/>
  <c r="G124" i="12"/>
  <c r="G125" i="12"/>
  <c r="I124" i="12"/>
  <c r="I125" i="12"/>
  <c r="S124" i="12"/>
  <c r="S125" i="12"/>
  <c r="Q124" i="12"/>
  <c r="Q125" i="12"/>
  <c r="O124" i="12"/>
  <c r="O125" i="12"/>
  <c r="M124" i="12"/>
  <c r="M125" i="12"/>
  <c r="S109" i="12"/>
  <c r="S115" i="12"/>
  <c r="S120" i="12"/>
  <c r="Q109" i="12"/>
  <c r="Q115" i="12"/>
  <c r="O109" i="12"/>
  <c r="O115" i="12"/>
  <c r="O120" i="12"/>
  <c r="K129" i="12"/>
  <c r="K120" i="12"/>
  <c r="K109" i="12"/>
  <c r="K115" i="12"/>
  <c r="I126" i="12"/>
  <c r="I129" i="12"/>
  <c r="S70" i="12"/>
  <c r="S76" i="12"/>
  <c r="S84" i="12"/>
  <c r="Q70" i="12"/>
  <c r="Q72" i="12"/>
  <c r="Q76" i="12"/>
  <c r="Q78" i="12"/>
  <c r="Q81" i="12"/>
  <c r="Q84" i="12"/>
  <c r="O70" i="12"/>
  <c r="O76" i="12"/>
  <c r="O78" i="12"/>
  <c r="O84" i="12"/>
  <c r="M78" i="12"/>
  <c r="K70" i="12"/>
  <c r="K76" i="12"/>
  <c r="K102" i="12"/>
  <c r="K84" i="12"/>
  <c r="G70" i="12"/>
  <c r="G76" i="12"/>
  <c r="G81" i="12"/>
  <c r="C22" i="12"/>
  <c r="C42" i="12"/>
  <c r="I42" i="12" s="1"/>
  <c r="C86" i="12"/>
  <c r="S86" i="12" s="1"/>
  <c r="G120" i="12"/>
  <c r="G117" i="12"/>
  <c r="G115" i="12"/>
  <c r="G129" i="12"/>
  <c r="G108" i="12"/>
  <c r="G109" i="12"/>
  <c r="G110" i="12"/>
  <c r="G111" i="12"/>
  <c r="G123" i="12"/>
  <c r="G126" i="12"/>
  <c r="C132" i="12"/>
  <c r="S132" i="12" s="1"/>
  <c r="S179" i="12"/>
  <c r="S180" i="12"/>
  <c r="S181" i="12"/>
  <c r="S182" i="12"/>
  <c r="S183" i="12"/>
  <c r="Q179" i="12"/>
  <c r="Q180" i="12"/>
  <c r="Q181" i="12"/>
  <c r="Q182" i="12"/>
  <c r="Q183" i="12"/>
  <c r="O179" i="12"/>
  <c r="O180" i="12"/>
  <c r="O181" i="12"/>
  <c r="O182" i="12"/>
  <c r="O183" i="12"/>
  <c r="M179" i="12"/>
  <c r="M180" i="12"/>
  <c r="M181" i="12"/>
  <c r="M182" i="12"/>
  <c r="M183" i="12"/>
  <c r="K179" i="12"/>
  <c r="K180" i="12"/>
  <c r="K181" i="12"/>
  <c r="K182" i="12"/>
  <c r="K183" i="12"/>
  <c r="I179" i="12"/>
  <c r="G179" i="12"/>
  <c r="G180" i="12"/>
  <c r="G181" i="12"/>
  <c r="G182" i="12"/>
  <c r="G183" i="12"/>
  <c r="E179" i="12"/>
  <c r="E180" i="12"/>
  <c r="E181" i="12"/>
  <c r="E182" i="12"/>
  <c r="E183" i="12"/>
  <c r="S69" i="12"/>
  <c r="S71" i="12"/>
  <c r="S102" i="12"/>
  <c r="S103" i="12"/>
  <c r="Q69" i="12"/>
  <c r="Q71" i="12"/>
  <c r="Q95" i="12"/>
  <c r="Q102" i="12"/>
  <c r="Q103" i="12"/>
  <c r="O69" i="12"/>
  <c r="O71" i="12"/>
  <c r="O102" i="12"/>
  <c r="O103" i="12"/>
  <c r="M69" i="12"/>
  <c r="M70" i="12"/>
  <c r="M71" i="12"/>
  <c r="M76" i="12"/>
  <c r="M84" i="12"/>
  <c r="M102" i="12"/>
  <c r="M103" i="12"/>
  <c r="K69" i="12"/>
  <c r="K71" i="12"/>
  <c r="K103" i="12"/>
  <c r="I69" i="12"/>
  <c r="I70" i="12"/>
  <c r="I71" i="12"/>
  <c r="I76" i="12"/>
  <c r="I84" i="12"/>
  <c r="I95" i="12"/>
  <c r="I102" i="12"/>
  <c r="I103" i="12"/>
  <c r="G69" i="12"/>
  <c r="G71" i="12"/>
  <c r="G72" i="12"/>
  <c r="G78" i="12"/>
  <c r="G84" i="12"/>
  <c r="G95" i="12"/>
  <c r="G102" i="12"/>
  <c r="G103" i="12"/>
  <c r="E69" i="12"/>
  <c r="E70" i="12"/>
  <c r="E71" i="12"/>
  <c r="E72" i="12"/>
  <c r="E76" i="12"/>
  <c r="E78" i="12"/>
  <c r="E81" i="12"/>
  <c r="E84" i="12"/>
  <c r="E95" i="12"/>
  <c r="E102" i="12"/>
  <c r="E103" i="12"/>
  <c r="C18" i="12"/>
  <c r="I18" i="12" s="1"/>
  <c r="C136" i="12"/>
  <c r="S136" i="12" s="1"/>
  <c r="C134" i="12"/>
  <c r="Q134" i="12" s="1"/>
  <c r="C90" i="12"/>
  <c r="K90" i="12" s="1"/>
  <c r="C88" i="12"/>
  <c r="I88" i="12" s="1"/>
  <c r="C128" i="12"/>
  <c r="Q126" i="12"/>
  <c r="E111" i="12"/>
  <c r="E117" i="12"/>
  <c r="E120" i="12"/>
  <c r="E123" i="12"/>
  <c r="C131" i="12"/>
  <c r="Y129" i="12" s="1"/>
  <c r="E108" i="12"/>
  <c r="E109" i="12"/>
  <c r="E110" i="12"/>
  <c r="E115" i="12"/>
  <c r="Q129" i="12"/>
  <c r="S123" i="12"/>
  <c r="Q123" i="12"/>
  <c r="O123" i="12"/>
  <c r="M123" i="12"/>
  <c r="K123" i="12"/>
  <c r="I123" i="12"/>
  <c r="K124" i="12"/>
  <c r="Q120" i="12"/>
  <c r="M120" i="12"/>
  <c r="I120" i="12"/>
  <c r="Q117" i="12"/>
  <c r="M115" i="12"/>
  <c r="I115" i="12"/>
  <c r="S116" i="12"/>
  <c r="Q116" i="12"/>
  <c r="O116" i="12"/>
  <c r="M116" i="12"/>
  <c r="K116" i="12"/>
  <c r="I116" i="12"/>
  <c r="G116" i="12"/>
  <c r="E116" i="12"/>
  <c r="S114" i="12"/>
  <c r="Q114" i="12"/>
  <c r="O114" i="12"/>
  <c r="M114" i="12"/>
  <c r="K114" i="12"/>
  <c r="I114" i="12"/>
  <c r="G114" i="12"/>
  <c r="E114" i="12"/>
  <c r="Q111" i="12"/>
  <c r="S108" i="12"/>
  <c r="S110" i="12"/>
  <c r="Q108" i="12"/>
  <c r="Q110" i="12"/>
  <c r="O108" i="12"/>
  <c r="O110" i="12"/>
  <c r="M108" i="12"/>
  <c r="M109" i="12"/>
  <c r="M110" i="12"/>
  <c r="K108" i="12"/>
  <c r="K110" i="12"/>
  <c r="I108" i="12"/>
  <c r="I109" i="12"/>
  <c r="I110" i="12"/>
  <c r="S77" i="12"/>
  <c r="Q77" i="12"/>
  <c r="O77" i="12"/>
  <c r="M77" i="12"/>
  <c r="K77" i="12"/>
  <c r="I77" i="12"/>
  <c r="G77" i="12"/>
  <c r="E77" i="12"/>
  <c r="S75" i="12"/>
  <c r="Q75" i="12"/>
  <c r="O75" i="12"/>
  <c r="M75" i="12"/>
  <c r="K75" i="12"/>
  <c r="I75" i="12"/>
  <c r="G75" i="12"/>
  <c r="E75" i="12"/>
  <c r="C30" i="12"/>
  <c r="Y30" i="12" s="1"/>
  <c r="C28" i="12"/>
  <c r="AK28" i="12" s="1"/>
  <c r="C14" i="12"/>
  <c r="I14" i="12" s="1"/>
  <c r="C12" i="12"/>
  <c r="Y12" i="12" s="1"/>
  <c r="C25" i="12"/>
  <c r="C16" i="12"/>
  <c r="I16" i="12" s="1"/>
  <c r="E85" i="12"/>
  <c r="G85" i="12"/>
  <c r="I85" i="12"/>
  <c r="K85" i="12"/>
  <c r="M85" i="12"/>
  <c r="O85" i="12"/>
  <c r="Q85" i="12"/>
  <c r="S85" i="12"/>
  <c r="B31" i="13"/>
  <c r="F5" i="17"/>
  <c r="E22" i="17" s="1"/>
  <c r="F22" i="17" s="1"/>
  <c r="A5" i="17"/>
  <c r="A1" i="18" s="1"/>
  <c r="A2" i="17"/>
  <c r="A1" i="17"/>
  <c r="F17" i="9"/>
  <c r="I17" i="9"/>
  <c r="L17" i="9"/>
  <c r="C17" i="9"/>
  <c r="A1" i="11"/>
  <c r="A5" i="11"/>
  <c r="C2" i="14"/>
  <c r="A2" i="14"/>
  <c r="C1" i="14"/>
  <c r="A1" i="14"/>
  <c r="A5" i="9"/>
  <c r="B5" i="15"/>
  <c r="A2" i="15"/>
  <c r="A5" i="15"/>
  <c r="A1" i="15"/>
  <c r="B75" i="5"/>
  <c r="D75" i="5"/>
  <c r="D23" i="5"/>
  <c r="B62" i="13" l="1"/>
  <c r="E21" i="14"/>
  <c r="E19" i="14"/>
  <c r="E20" i="14"/>
  <c r="K20" i="10"/>
  <c r="P61" i="10"/>
  <c r="F84" i="5"/>
  <c r="Y132" i="12"/>
  <c r="AC134" i="12"/>
  <c r="Y86" i="12"/>
  <c r="M141" i="25"/>
  <c r="D90" i="25"/>
  <c r="B156" i="25" s="1"/>
  <c r="D97" i="5"/>
  <c r="D98" i="5"/>
  <c r="D101" i="5"/>
  <c r="D94" i="5"/>
  <c r="S42" i="12"/>
  <c r="W42" i="12"/>
  <c r="AG136" i="12"/>
  <c r="AK132" i="12"/>
  <c r="U92" i="12"/>
  <c r="AG132" i="12"/>
  <c r="AG86" i="12"/>
  <c r="AE16" i="12"/>
  <c r="Y136" i="12"/>
  <c r="Y175" i="12"/>
  <c r="G156" i="25"/>
  <c r="G157" i="25"/>
  <c r="Q20" i="10"/>
  <c r="K14" i="12"/>
  <c r="S16" i="12"/>
  <c r="U81" i="12"/>
  <c r="AK161" i="12"/>
  <c r="AE173" i="12"/>
  <c r="AE175" i="12"/>
  <c r="AK177" i="12"/>
  <c r="M28" i="12"/>
  <c r="W28" i="12"/>
  <c r="AG28" i="12"/>
  <c r="M30" i="12"/>
  <c r="W30" i="12"/>
  <c r="AG30" i="12"/>
  <c r="AK90" i="12"/>
  <c r="AE90" i="12"/>
  <c r="Y90" i="12"/>
  <c r="U90" i="12"/>
  <c r="M90" i="12"/>
  <c r="I90" i="12"/>
  <c r="Y72" i="12"/>
  <c r="E23" i="15"/>
  <c r="I23" i="12"/>
  <c r="AC23" i="12"/>
  <c r="M23" i="12"/>
  <c r="Y23" i="12"/>
  <c r="O23" i="12"/>
  <c r="U23" i="12"/>
  <c r="K126" i="12"/>
  <c r="AC126" i="12"/>
  <c r="W126" i="12"/>
  <c r="U126" i="12"/>
  <c r="D58" i="5"/>
  <c r="D59" i="5"/>
  <c r="W177" i="12"/>
  <c r="B61" i="13"/>
  <c r="B65" i="13"/>
  <c r="AE18" i="12"/>
  <c r="W132" i="12"/>
  <c r="AE132" i="12"/>
  <c r="W136" i="12"/>
  <c r="AE136" i="12"/>
  <c r="W86" i="12"/>
  <c r="AE86" i="12"/>
  <c r="AK86" i="12"/>
  <c r="W175" i="12"/>
  <c r="Y173" i="12"/>
  <c r="M20" i="10"/>
  <c r="W12" i="12"/>
  <c r="K16" i="12"/>
  <c r="AG161" i="12"/>
  <c r="AC173" i="12"/>
  <c r="AC175" i="12"/>
  <c r="AC177" i="12"/>
  <c r="AG175" i="12"/>
  <c r="K28" i="12"/>
  <c r="U28" i="12"/>
  <c r="U30" i="12"/>
  <c r="AG88" i="12"/>
  <c r="AC88" i="12"/>
  <c r="W88" i="12"/>
  <c r="O88" i="12"/>
  <c r="K88" i="12"/>
  <c r="AC72" i="12"/>
  <c r="G151" i="18"/>
  <c r="E102" i="19"/>
  <c r="I20" i="12"/>
  <c r="M20" i="12"/>
  <c r="AC20" i="12"/>
  <c r="O20" i="12"/>
  <c r="U20" i="12"/>
  <c r="B60" i="13"/>
  <c r="F82" i="5" s="1"/>
  <c r="B64" i="13"/>
  <c r="E5" i="9"/>
  <c r="S18" i="12"/>
  <c r="AE42" i="12"/>
  <c r="AC132" i="12"/>
  <c r="Y134" i="12"/>
  <c r="AG134" i="12"/>
  <c r="AC136" i="12"/>
  <c r="AK136" i="12"/>
  <c r="U86" i="12"/>
  <c r="AC86" i="12"/>
  <c r="W173" i="12"/>
  <c r="E3" i="25"/>
  <c r="E90" i="25" s="1"/>
  <c r="W14" i="12"/>
  <c r="AK14" i="12"/>
  <c r="AK173" i="12"/>
  <c r="AG177" i="12"/>
  <c r="AG173" i="12"/>
  <c r="I28" i="12"/>
  <c r="S28" i="12"/>
  <c r="AC28" i="12"/>
  <c r="I30" i="12"/>
  <c r="AC30" i="12"/>
  <c r="AG90" i="12"/>
  <c r="AC90" i="12"/>
  <c r="W90" i="12"/>
  <c r="O90" i="12"/>
  <c r="D73" i="5"/>
  <c r="D72" i="5"/>
  <c r="D71" i="5"/>
  <c r="E129" i="12"/>
  <c r="W129" i="12"/>
  <c r="AC129" i="12"/>
  <c r="S129" i="12"/>
  <c r="U129" i="12"/>
  <c r="K167" i="12"/>
  <c r="U167" i="12"/>
  <c r="AC167" i="12"/>
  <c r="AC191" i="12" s="1"/>
  <c r="L32" i="9" s="1"/>
  <c r="W167" i="12"/>
  <c r="K18" i="12"/>
  <c r="W18" i="12"/>
  <c r="AK18" i="12"/>
  <c r="W134" i="12"/>
  <c r="AE134" i="12"/>
  <c r="Y177" i="12"/>
  <c r="G116" i="15"/>
  <c r="S14" i="12"/>
  <c r="AE14" i="12"/>
  <c r="W16" i="12"/>
  <c r="AE177" i="12"/>
  <c r="O28" i="12"/>
  <c r="Y28" i="12"/>
  <c r="O30" i="12"/>
  <c r="AE88" i="12"/>
  <c r="Y88" i="12"/>
  <c r="U88" i="12"/>
  <c r="M88" i="12"/>
  <c r="D19" i="5"/>
  <c r="D20" i="5"/>
  <c r="D43" i="5"/>
  <c r="D39" i="5"/>
  <c r="D42" i="5"/>
  <c r="I114" i="18"/>
  <c r="I128" i="18" s="1"/>
  <c r="K33" i="17" s="1"/>
  <c r="F59" i="10"/>
  <c r="F60" i="10" s="1"/>
  <c r="F61" i="10" s="1"/>
  <c r="F7" i="10"/>
  <c r="G7" i="10" s="1"/>
  <c r="Q17" i="10"/>
  <c r="L59" i="10"/>
  <c r="L60" i="10" s="1"/>
  <c r="L61" i="10" s="1"/>
  <c r="O17" i="10"/>
  <c r="J59" i="10"/>
  <c r="J60" i="10" s="1"/>
  <c r="J61" i="10" s="1"/>
  <c r="D7" i="10"/>
  <c r="E7" i="10" s="1"/>
  <c r="E26" i="10"/>
  <c r="M26" i="10"/>
  <c r="Q23" i="10"/>
  <c r="M17" i="10"/>
  <c r="K26" i="10"/>
  <c r="O23" i="10"/>
  <c r="D61" i="10"/>
  <c r="H61" i="10"/>
  <c r="D82" i="5"/>
  <c r="D84" i="5"/>
  <c r="D83" i="5"/>
  <c r="G4" i="18"/>
  <c r="G28" i="18" s="1"/>
  <c r="G29" i="17" s="1"/>
  <c r="I4" i="18"/>
  <c r="E10" i="21"/>
  <c r="F10" i="21" s="1"/>
  <c r="E12" i="21"/>
  <c r="F12" i="21" s="1"/>
  <c r="E11" i="21"/>
  <c r="F11" i="21" s="1"/>
  <c r="G66" i="19"/>
  <c r="G67" i="19" s="1"/>
  <c r="I66" i="19"/>
  <c r="I67" i="19" s="1"/>
  <c r="E66" i="19"/>
  <c r="E67" i="19" s="1"/>
  <c r="D69" i="19"/>
  <c r="D29" i="19"/>
  <c r="D104" i="19"/>
  <c r="H104" i="19"/>
  <c r="H69" i="19"/>
  <c r="H29" i="19"/>
  <c r="F69" i="19"/>
  <c r="F29" i="19"/>
  <c r="F104" i="19"/>
  <c r="I13" i="18"/>
  <c r="I43" i="18"/>
  <c r="I40" i="18"/>
  <c r="I151" i="18"/>
  <c r="K34" i="17" s="1"/>
  <c r="E151" i="18"/>
  <c r="C34" i="17" s="1"/>
  <c r="E68" i="18"/>
  <c r="C31" i="17" s="1"/>
  <c r="G114" i="18"/>
  <c r="G122" i="18"/>
  <c r="E122" i="18"/>
  <c r="E128" i="18" s="1"/>
  <c r="C33" i="17" s="1"/>
  <c r="E102" i="18"/>
  <c r="C32" i="17" s="1"/>
  <c r="I102" i="18"/>
  <c r="K32" i="17" s="1"/>
  <c r="E48" i="18"/>
  <c r="C30" i="17" s="1"/>
  <c r="G102" i="18"/>
  <c r="G32" i="17" s="1"/>
  <c r="G55" i="18"/>
  <c r="E13" i="18"/>
  <c r="G34" i="17"/>
  <c r="I188" i="18"/>
  <c r="K36" i="17" s="1"/>
  <c r="G209" i="18"/>
  <c r="G37" i="17" s="1"/>
  <c r="E257" i="18"/>
  <c r="C39" i="17" s="1"/>
  <c r="G300" i="18"/>
  <c r="G41" i="17" s="1"/>
  <c r="I169" i="18"/>
  <c r="K35" i="17" s="1"/>
  <c r="E209" i="18"/>
  <c r="C37" i="17" s="1"/>
  <c r="E300" i="18"/>
  <c r="C41" i="17" s="1"/>
  <c r="G40" i="18"/>
  <c r="G43" i="18"/>
  <c r="I209" i="18"/>
  <c r="K37" i="17" s="1"/>
  <c r="E236" i="18"/>
  <c r="C38" i="17" s="1"/>
  <c r="I300" i="18"/>
  <c r="K41" i="17" s="1"/>
  <c r="G188" i="18"/>
  <c r="G36" i="17" s="1"/>
  <c r="E279" i="18"/>
  <c r="C40" i="17" s="1"/>
  <c r="E169" i="18"/>
  <c r="C35" i="17" s="1"/>
  <c r="E188" i="18"/>
  <c r="C36" i="17" s="1"/>
  <c r="G169" i="18"/>
  <c r="G35" i="17" s="1"/>
  <c r="I236" i="18"/>
  <c r="K38" i="17" s="1"/>
  <c r="G236" i="18"/>
  <c r="G38" i="17" s="1"/>
  <c r="G279" i="18"/>
  <c r="G40" i="17" s="1"/>
  <c r="I279" i="18"/>
  <c r="K40" i="17" s="1"/>
  <c r="G257" i="18"/>
  <c r="G39" i="17" s="1"/>
  <c r="I257" i="18"/>
  <c r="K39" i="17" s="1"/>
  <c r="E21" i="17"/>
  <c r="F21" i="17" s="1"/>
  <c r="E23" i="17"/>
  <c r="F23" i="17" s="1"/>
  <c r="I145" i="15"/>
  <c r="K35" i="14" s="1"/>
  <c r="G145" i="15"/>
  <c r="E145" i="15"/>
  <c r="F19" i="14"/>
  <c r="F21" i="14"/>
  <c r="F20" i="14"/>
  <c r="AE65" i="12"/>
  <c r="C33" i="9" s="1"/>
  <c r="K145" i="12"/>
  <c r="AC104" i="12"/>
  <c r="F32" i="9" s="1"/>
  <c r="AC145" i="12"/>
  <c r="I32" i="9" s="1"/>
  <c r="H36" i="5"/>
  <c r="D25" i="30" s="1"/>
  <c r="Y191" i="12"/>
  <c r="L30" i="9" s="1"/>
  <c r="AE191" i="12"/>
  <c r="L33" i="9" s="1"/>
  <c r="AK145" i="12"/>
  <c r="AE145" i="12"/>
  <c r="I33" i="9" s="1"/>
  <c r="Y145" i="12"/>
  <c r="I30" i="9" s="1"/>
  <c r="AG145" i="12"/>
  <c r="I34" i="9" s="1"/>
  <c r="S65" i="12"/>
  <c r="C27" i="9" s="1"/>
  <c r="U177" i="12"/>
  <c r="U132" i="12"/>
  <c r="U134" i="12"/>
  <c r="U173" i="12"/>
  <c r="O177" i="12"/>
  <c r="U136" i="12"/>
  <c r="Y104" i="12"/>
  <c r="F30" i="9" s="1"/>
  <c r="AG104" i="12"/>
  <c r="F34" i="9" s="1"/>
  <c r="U175" i="12"/>
  <c r="K65" i="12"/>
  <c r="C23" i="9" s="1"/>
  <c r="AK104" i="12"/>
  <c r="F36" i="9" s="1"/>
  <c r="O132" i="12"/>
  <c r="I177" i="12"/>
  <c r="M136" i="12"/>
  <c r="M177" i="12"/>
  <c r="I175" i="12"/>
  <c r="M134" i="12"/>
  <c r="O136" i="12"/>
  <c r="M175" i="12"/>
  <c r="I136" i="12"/>
  <c r="I132" i="12"/>
  <c r="I173" i="12"/>
  <c r="M132" i="12"/>
  <c r="O134" i="12"/>
  <c r="M173" i="12"/>
  <c r="E5" i="11"/>
  <c r="AC16" i="12"/>
  <c r="AC14" i="12"/>
  <c r="U16" i="12"/>
  <c r="M12" i="12"/>
  <c r="M42" i="12"/>
  <c r="U18" i="12"/>
  <c r="AC18" i="12"/>
  <c r="Y42" i="12"/>
  <c r="AG42" i="12"/>
  <c r="U12" i="12"/>
  <c r="Y14" i="12"/>
  <c r="O42" i="12"/>
  <c r="AG16" i="12"/>
  <c r="AC12" i="12"/>
  <c r="AG14" i="12"/>
  <c r="Y16" i="12"/>
  <c r="Y18" i="12"/>
  <c r="AG18" i="12"/>
  <c r="AC42" i="12"/>
  <c r="O12" i="12"/>
  <c r="U14" i="12"/>
  <c r="M18" i="12"/>
  <c r="O18" i="12"/>
  <c r="O16" i="12"/>
  <c r="M16" i="12"/>
  <c r="M14" i="12"/>
  <c r="O14" i="12"/>
  <c r="U42" i="12"/>
  <c r="AI191" i="12"/>
  <c r="AM191" i="12"/>
  <c r="I36" i="9"/>
  <c r="O52" i="10"/>
  <c r="C24" i="11" s="1"/>
  <c r="K38" i="14"/>
  <c r="I73" i="15"/>
  <c r="K30" i="14" s="1"/>
  <c r="I46" i="15"/>
  <c r="K29" i="14" s="1"/>
  <c r="N59" i="10"/>
  <c r="N60" i="10" s="1"/>
  <c r="N61" i="10" s="1"/>
  <c r="H7" i="10"/>
  <c r="I7" i="10" s="1"/>
  <c r="P7" i="10"/>
  <c r="E23" i="10"/>
  <c r="E52" i="10" s="1"/>
  <c r="C19" i="11" s="1"/>
  <c r="M52" i="10"/>
  <c r="C23" i="11" s="1"/>
  <c r="G52" i="10"/>
  <c r="C20" i="11" s="1"/>
  <c r="I26" i="19"/>
  <c r="I27" i="19" s="1"/>
  <c r="G26" i="19"/>
  <c r="E26" i="19"/>
  <c r="E27" i="19" s="1"/>
  <c r="E73" i="15"/>
  <c r="C30" i="14" s="1"/>
  <c r="E46" i="15"/>
  <c r="AM145" i="12"/>
  <c r="AA191" i="12"/>
  <c r="AA145" i="12"/>
  <c r="AI145" i="12"/>
  <c r="I63" i="22"/>
  <c r="F22" i="21" s="1"/>
  <c r="E63" i="22"/>
  <c r="F20" i="21" s="1"/>
  <c r="G63" i="22"/>
  <c r="F21" i="21" s="1"/>
  <c r="M63" i="22"/>
  <c r="F24" i="21" s="1"/>
  <c r="O63" i="22"/>
  <c r="F25" i="21" s="1"/>
  <c r="K63" i="22"/>
  <c r="F23" i="21" s="1"/>
  <c r="S63" i="22"/>
  <c r="F27" i="21" s="1"/>
  <c r="Q63" i="22"/>
  <c r="F26" i="21" s="1"/>
  <c r="U63" i="22"/>
  <c r="F28" i="21" s="1"/>
  <c r="I29" i="22"/>
  <c r="C22" i="21" s="1"/>
  <c r="Q29" i="22"/>
  <c r="C26" i="21" s="1"/>
  <c r="E29" i="22"/>
  <c r="C20" i="21" s="1"/>
  <c r="M29" i="22"/>
  <c r="C24" i="21" s="1"/>
  <c r="U29" i="22"/>
  <c r="C28" i="21" s="1"/>
  <c r="G29" i="22"/>
  <c r="C21" i="21" s="1"/>
  <c r="O29" i="22"/>
  <c r="C25" i="21" s="1"/>
  <c r="K29" i="22"/>
  <c r="C23" i="21" s="1"/>
  <c r="S29" i="22"/>
  <c r="C27" i="21" s="1"/>
  <c r="E173" i="12"/>
  <c r="Q173" i="12"/>
  <c r="E177" i="12"/>
  <c r="G173" i="12"/>
  <c r="G177" i="12"/>
  <c r="Q177" i="12"/>
  <c r="E65" i="12"/>
  <c r="O173" i="12"/>
  <c r="O191" i="12" s="1"/>
  <c r="E175" i="12"/>
  <c r="K177" i="12"/>
  <c r="K175" i="12"/>
  <c r="S175" i="12"/>
  <c r="S191" i="12" s="1"/>
  <c r="L27" i="9" s="1"/>
  <c r="G65" i="12"/>
  <c r="K173" i="12"/>
  <c r="Q175" i="12"/>
  <c r="G175" i="12"/>
  <c r="E88" i="12"/>
  <c r="E126" i="12"/>
  <c r="E90" i="12"/>
  <c r="E86" i="12"/>
  <c r="K86" i="12"/>
  <c r="G134" i="12"/>
  <c r="I86" i="12"/>
  <c r="H54" i="5"/>
  <c r="D43" i="30" s="1"/>
  <c r="H45" i="5"/>
  <c r="D34" i="30" s="1"/>
  <c r="H41" i="5"/>
  <c r="D30" i="30" s="1"/>
  <c r="H60" i="5"/>
  <c r="D49" i="30" s="1"/>
  <c r="D56" i="5"/>
  <c r="H55" i="5"/>
  <c r="D44" i="30" s="1"/>
  <c r="D18" i="5"/>
  <c r="D74" i="5"/>
  <c r="D70" i="5"/>
  <c r="H69" i="5"/>
  <c r="D58" i="30" s="1"/>
  <c r="D22" i="5"/>
  <c r="G73" i="15"/>
  <c r="G30" i="14" s="1"/>
  <c r="G46" i="15"/>
  <c r="D38" i="5"/>
  <c r="H47" i="5"/>
  <c r="D36" i="30" s="1"/>
  <c r="E134" i="12"/>
  <c r="G132" i="12"/>
  <c r="M86" i="12"/>
  <c r="Q88" i="12"/>
  <c r="I134" i="12"/>
  <c r="E136" i="12"/>
  <c r="E132" i="12"/>
  <c r="G90" i="12"/>
  <c r="G86" i="12"/>
  <c r="O86" i="12"/>
  <c r="S104" i="12"/>
  <c r="F27" i="9" s="1"/>
  <c r="Q136" i="12"/>
  <c r="Q132" i="12"/>
  <c r="S134" i="12"/>
  <c r="Q90" i="12"/>
  <c r="Q86" i="12"/>
  <c r="G136" i="12"/>
  <c r="G88" i="12"/>
  <c r="W65" i="12" l="1"/>
  <c r="C29" i="9" s="1"/>
  <c r="F43" i="5"/>
  <c r="F99" i="5"/>
  <c r="AK65" i="12"/>
  <c r="C36" i="9" s="1"/>
  <c r="I65" i="12"/>
  <c r="C22" i="9" s="1"/>
  <c r="AG191" i="12"/>
  <c r="L34" i="9" s="1"/>
  <c r="W104" i="12"/>
  <c r="F29" i="9" s="1"/>
  <c r="W145" i="12"/>
  <c r="I29" i="9" s="1"/>
  <c r="W191" i="12"/>
  <c r="L29" i="9" s="1"/>
  <c r="F20" i="5"/>
  <c r="F42" i="5"/>
  <c r="F70" i="5"/>
  <c r="F98" i="5"/>
  <c r="F56" i="5"/>
  <c r="F38" i="5"/>
  <c r="U145" i="12"/>
  <c r="I28" i="9" s="1"/>
  <c r="AE104" i="12"/>
  <c r="F33" i="9" s="1"/>
  <c r="AK191" i="12"/>
  <c r="L36" i="9" s="1"/>
  <c r="U104" i="12"/>
  <c r="F28" i="9" s="1"/>
  <c r="I104" i="12"/>
  <c r="F22" i="9" s="1"/>
  <c r="AG65" i="12"/>
  <c r="C34" i="9" s="1"/>
  <c r="Y65" i="12"/>
  <c r="C30" i="9" s="1"/>
  <c r="F22" i="14"/>
  <c r="G6" i="14" s="1"/>
  <c r="O145" i="12"/>
  <c r="I25" i="9" s="1"/>
  <c r="U191" i="12"/>
  <c r="L28" i="9" s="1"/>
  <c r="AC65" i="12"/>
  <c r="C32" i="9" s="1"/>
  <c r="U65" i="12"/>
  <c r="I145" i="12"/>
  <c r="I28" i="18"/>
  <c r="K29" i="17" s="1"/>
  <c r="Q7" i="10"/>
  <c r="Q52" i="10" s="1"/>
  <c r="C25" i="11" s="1"/>
  <c r="E25" i="11" s="1"/>
  <c r="F24" i="17"/>
  <c r="G14" i="17" s="1"/>
  <c r="D35" i="17" s="1"/>
  <c r="E35" i="17" s="1"/>
  <c r="F13" i="21"/>
  <c r="G12" i="21" s="1"/>
  <c r="I46" i="21" s="1"/>
  <c r="E28" i="18"/>
  <c r="C29" i="17" s="1"/>
  <c r="I48" i="18"/>
  <c r="F105" i="19"/>
  <c r="F106" i="19" s="1"/>
  <c r="G27" i="19"/>
  <c r="H105" i="19"/>
  <c r="H106" i="19" s="1"/>
  <c r="D105" i="19"/>
  <c r="D106" i="19" s="1"/>
  <c r="G68" i="18"/>
  <c r="G31" i="17" s="1"/>
  <c r="I55" i="18"/>
  <c r="I68" i="18" s="1"/>
  <c r="K31" i="17" s="1"/>
  <c r="G128" i="18"/>
  <c r="G33" i="17" s="1"/>
  <c r="G48" i="18"/>
  <c r="G30" i="17" s="1"/>
  <c r="G21" i="17"/>
  <c r="C54" i="17" s="1"/>
  <c r="G22" i="17"/>
  <c r="F54" i="17" s="1"/>
  <c r="G23" i="17"/>
  <c r="I54" i="17" s="1"/>
  <c r="G13" i="17"/>
  <c r="M65" i="12"/>
  <c r="C24" i="9" s="1"/>
  <c r="I191" i="12"/>
  <c r="L22" i="9" s="1"/>
  <c r="S145" i="12"/>
  <c r="I27" i="9" s="1"/>
  <c r="M145" i="12"/>
  <c r="I24" i="9" s="1"/>
  <c r="K191" i="12"/>
  <c r="L23" i="9" s="1"/>
  <c r="I22" i="9"/>
  <c r="L25" i="9"/>
  <c r="C28" i="9"/>
  <c r="M191" i="12"/>
  <c r="L24" i="9" s="1"/>
  <c r="O65" i="12"/>
  <c r="C25" i="9" s="1"/>
  <c r="D13" i="9"/>
  <c r="D11" i="9"/>
  <c r="D12" i="9"/>
  <c r="D9" i="11"/>
  <c r="E9" i="11" s="1"/>
  <c r="D10" i="11"/>
  <c r="E10" i="11" s="1"/>
  <c r="D11" i="11"/>
  <c r="E11" i="11" s="1"/>
  <c r="O104" i="12"/>
  <c r="F25" i="9" s="1"/>
  <c r="K104" i="12"/>
  <c r="F23" i="9" s="1"/>
  <c r="I23" i="9"/>
  <c r="M104" i="12"/>
  <c r="F24" i="9" s="1"/>
  <c r="AI65" i="12"/>
  <c r="AM65" i="12"/>
  <c r="Q191" i="12"/>
  <c r="E191" i="12"/>
  <c r="G191" i="12"/>
  <c r="E23" i="11"/>
  <c r="E20" i="11"/>
  <c r="E19" i="11"/>
  <c r="E24" i="11"/>
  <c r="K34" i="14"/>
  <c r="K33" i="14"/>
  <c r="G35" i="14"/>
  <c r="G34" i="14"/>
  <c r="G33" i="14"/>
  <c r="K40" i="14"/>
  <c r="C33" i="14"/>
  <c r="C35" i="14"/>
  <c r="C34" i="14"/>
  <c r="K28" i="14"/>
  <c r="K27" i="14"/>
  <c r="K31" i="14"/>
  <c r="G31" i="14"/>
  <c r="G27" i="14"/>
  <c r="G29" i="14"/>
  <c r="G28" i="14"/>
  <c r="C28" i="14"/>
  <c r="C31" i="14"/>
  <c r="C27" i="14"/>
  <c r="C29" i="14"/>
  <c r="G39" i="14"/>
  <c r="G38" i="14"/>
  <c r="G32" i="14"/>
  <c r="G37" i="14"/>
  <c r="G36" i="14"/>
  <c r="G40" i="14"/>
  <c r="K39" i="14"/>
  <c r="K37" i="14"/>
  <c r="K32" i="14"/>
  <c r="C39" i="14"/>
  <c r="C38" i="14"/>
  <c r="C36" i="14"/>
  <c r="C32" i="14"/>
  <c r="C37" i="14"/>
  <c r="C40" i="14"/>
  <c r="K36" i="14"/>
  <c r="I52" i="10"/>
  <c r="C21" i="11" s="1"/>
  <c r="K52" i="10"/>
  <c r="C22" i="11" s="1"/>
  <c r="AA65" i="12"/>
  <c r="Q65" i="12"/>
  <c r="E145" i="12"/>
  <c r="E104" i="12"/>
  <c r="G104" i="12"/>
  <c r="G145" i="12"/>
  <c r="Q104" i="12"/>
  <c r="Q145" i="12"/>
  <c r="H50" i="17" l="1"/>
  <c r="H51" i="17"/>
  <c r="K44" i="21"/>
  <c r="K42" i="21"/>
  <c r="K38" i="21"/>
  <c r="K41" i="21"/>
  <c r="K40" i="21"/>
  <c r="K36" i="21"/>
  <c r="K39" i="21"/>
  <c r="K51" i="17"/>
  <c r="K50" i="17"/>
  <c r="E51" i="17"/>
  <c r="E50" i="17"/>
  <c r="G16" i="14"/>
  <c r="D38" i="14" s="1"/>
  <c r="G11" i="21"/>
  <c r="F46" i="21" s="1"/>
  <c r="D28" i="14"/>
  <c r="E28" i="14" s="1"/>
  <c r="H28" i="14"/>
  <c r="L28" i="14"/>
  <c r="I28" i="14"/>
  <c r="G18" i="14"/>
  <c r="G8" i="14"/>
  <c r="G9" i="14"/>
  <c r="G11" i="14"/>
  <c r="G10" i="14"/>
  <c r="G14" i="14"/>
  <c r="G7" i="14"/>
  <c r="G15" i="14"/>
  <c r="G5" i="14"/>
  <c r="G12" i="14"/>
  <c r="M28" i="14"/>
  <c r="G17" i="14"/>
  <c r="G13" i="14"/>
  <c r="G10" i="21"/>
  <c r="G20" i="14"/>
  <c r="F54" i="14" s="1"/>
  <c r="G21" i="14"/>
  <c r="I54" i="14" s="1"/>
  <c r="G19" i="14"/>
  <c r="C54" i="14" s="1"/>
  <c r="G10" i="17"/>
  <c r="J40" i="21"/>
  <c r="J39" i="21"/>
  <c r="J44" i="21"/>
  <c r="J37" i="21"/>
  <c r="J42" i="21"/>
  <c r="D36" i="21"/>
  <c r="G8" i="21"/>
  <c r="D24" i="21" s="1"/>
  <c r="E24" i="21" s="1"/>
  <c r="G9" i="21"/>
  <c r="G25" i="21" s="1"/>
  <c r="H25" i="21" s="1"/>
  <c r="G19" i="17"/>
  <c r="G16" i="17"/>
  <c r="G18" i="17"/>
  <c r="G20" i="17"/>
  <c r="G8" i="17"/>
  <c r="G12" i="17"/>
  <c r="G15" i="17"/>
  <c r="G11" i="17"/>
  <c r="G9" i="17"/>
  <c r="G17" i="17"/>
  <c r="D42" i="21"/>
  <c r="J41" i="21"/>
  <c r="H34" i="17"/>
  <c r="I34" i="17" s="1"/>
  <c r="L34" i="17"/>
  <c r="M34" i="17" s="1"/>
  <c r="D50" i="17"/>
  <c r="D52" i="17"/>
  <c r="E52" i="17" s="1"/>
  <c r="D51" i="17"/>
  <c r="H35" i="17"/>
  <c r="I35" i="17" s="1"/>
  <c r="L35" i="17"/>
  <c r="M35" i="17" s="1"/>
  <c r="D26" i="21"/>
  <c r="E26" i="21" s="1"/>
  <c r="D28" i="21"/>
  <c r="E28" i="21" s="1"/>
  <c r="J43" i="21"/>
  <c r="J36" i="21"/>
  <c r="H31" i="17"/>
  <c r="I31" i="17" s="1"/>
  <c r="L31" i="17"/>
  <c r="M31" i="17" s="1"/>
  <c r="G52" i="17"/>
  <c r="H52" i="17" s="1"/>
  <c r="G51" i="17"/>
  <c r="G50" i="17"/>
  <c r="D23" i="21"/>
  <c r="E23" i="21" s="1"/>
  <c r="J38" i="21"/>
  <c r="J50" i="17"/>
  <c r="J52" i="17"/>
  <c r="K52" i="17" s="1"/>
  <c r="J51" i="17"/>
  <c r="G13" i="21"/>
  <c r="G39" i="21"/>
  <c r="G37" i="21"/>
  <c r="G44" i="21"/>
  <c r="G42" i="21"/>
  <c r="G40" i="21"/>
  <c r="G38" i="21"/>
  <c r="G41" i="21"/>
  <c r="G43" i="21"/>
  <c r="G36" i="21"/>
  <c r="D38" i="21"/>
  <c r="G26" i="20"/>
  <c r="F108" i="19"/>
  <c r="J26" i="20" s="1"/>
  <c r="K26" i="20"/>
  <c r="C26" i="20"/>
  <c r="K30" i="17"/>
  <c r="D31" i="17"/>
  <c r="E31" i="17" s="1"/>
  <c r="D34" i="17"/>
  <c r="E34" i="17" s="1"/>
  <c r="L38" i="14"/>
  <c r="M38" i="14" s="1"/>
  <c r="H38" i="14"/>
  <c r="I38" i="14" s="1"/>
  <c r="E38" i="14"/>
  <c r="E12" i="11"/>
  <c r="F8" i="11" s="1"/>
  <c r="E22" i="11"/>
  <c r="E21" i="11"/>
  <c r="H30" i="5"/>
  <c r="H31" i="5"/>
  <c r="B14" i="13"/>
  <c r="B21" i="13"/>
  <c r="E50" i="14" l="1"/>
  <c r="E51" i="14"/>
  <c r="E52" i="14"/>
  <c r="H51" i="14"/>
  <c r="H52" i="14"/>
  <c r="H50" i="14"/>
  <c r="K51" i="14"/>
  <c r="K52" i="14"/>
  <c r="K50" i="14"/>
  <c r="D40" i="21"/>
  <c r="C46" i="21"/>
  <c r="H42" i="21"/>
  <c r="H38" i="21"/>
  <c r="H36" i="21"/>
  <c r="H39" i="21"/>
  <c r="H37" i="21"/>
  <c r="H40" i="21"/>
  <c r="H44" i="21"/>
  <c r="H41" i="21"/>
  <c r="D21" i="21"/>
  <c r="E21" i="21" s="1"/>
  <c r="G24" i="17"/>
  <c r="L33" i="14"/>
  <c r="M33" i="14" s="1"/>
  <c r="D33" i="14"/>
  <c r="E33" i="14" s="1"/>
  <c r="H33" i="14"/>
  <c r="I33" i="14" s="1"/>
  <c r="G52" i="14"/>
  <c r="G51" i="14"/>
  <c r="G50" i="14"/>
  <c r="D32" i="14"/>
  <c r="E32" i="14" s="1"/>
  <c r="L32" i="14"/>
  <c r="M32" i="14" s="1"/>
  <c r="H32" i="14"/>
  <c r="I32" i="14" s="1"/>
  <c r="D40" i="14"/>
  <c r="E40" i="14" s="1"/>
  <c r="H40" i="14"/>
  <c r="I40" i="14" s="1"/>
  <c r="L40" i="14"/>
  <c r="M40" i="14" s="1"/>
  <c r="D43" i="21"/>
  <c r="G21" i="21"/>
  <c r="H21" i="21" s="1"/>
  <c r="D37" i="21"/>
  <c r="D44" i="21"/>
  <c r="J52" i="14"/>
  <c r="J51" i="14"/>
  <c r="J50" i="14"/>
  <c r="D39" i="14"/>
  <c r="E39" i="14" s="1"/>
  <c r="L39" i="14"/>
  <c r="M39" i="14" s="1"/>
  <c r="H39" i="14"/>
  <c r="I39" i="14" s="1"/>
  <c r="L27" i="14"/>
  <c r="M27" i="14" s="1"/>
  <c r="H27" i="14"/>
  <c r="I27" i="14" s="1"/>
  <c r="D27" i="14"/>
  <c r="E27" i="14" s="1"/>
  <c r="H36" i="14"/>
  <c r="I36" i="14" s="1"/>
  <c r="D36" i="14"/>
  <c r="E36" i="14" s="1"/>
  <c r="L36" i="14"/>
  <c r="M36" i="14" s="1"/>
  <c r="L30" i="14"/>
  <c r="M30" i="14" s="1"/>
  <c r="H30" i="14"/>
  <c r="I30" i="14" s="1"/>
  <c r="D30" i="14"/>
  <c r="E30" i="14" s="1"/>
  <c r="D41" i="21"/>
  <c r="H37" i="14"/>
  <c r="I37" i="14" s="1"/>
  <c r="L37" i="14"/>
  <c r="M37" i="14" s="1"/>
  <c r="D37" i="14"/>
  <c r="E37" i="14" s="1"/>
  <c r="D50" i="14"/>
  <c r="D51" i="14"/>
  <c r="D52" i="14"/>
  <c r="H35" i="14"/>
  <c r="I35" i="14" s="1"/>
  <c r="D35" i="14"/>
  <c r="E35" i="14" s="1"/>
  <c r="L35" i="14"/>
  <c r="M35" i="14" s="1"/>
  <c r="L34" i="14"/>
  <c r="M34" i="14" s="1"/>
  <c r="D34" i="14"/>
  <c r="E34" i="14" s="1"/>
  <c r="H34" i="14"/>
  <c r="I34" i="14" s="1"/>
  <c r="L29" i="14"/>
  <c r="M29" i="14" s="1"/>
  <c r="H29" i="14"/>
  <c r="I29" i="14" s="1"/>
  <c r="D29" i="14"/>
  <c r="E29" i="14" s="1"/>
  <c r="L31" i="14"/>
  <c r="M31" i="14" s="1"/>
  <c r="H31" i="14"/>
  <c r="I31" i="14" s="1"/>
  <c r="D31" i="14"/>
  <c r="E31" i="14" s="1"/>
  <c r="G22" i="14"/>
  <c r="G23" i="21"/>
  <c r="H23" i="21" s="1"/>
  <c r="G20" i="21"/>
  <c r="H20" i="21" s="1"/>
  <c r="D39" i="21"/>
  <c r="G27" i="21"/>
  <c r="H27" i="21" s="1"/>
  <c r="G26" i="21"/>
  <c r="H26" i="21" s="1"/>
  <c r="G22" i="21"/>
  <c r="H22" i="21" s="1"/>
  <c r="G28" i="21"/>
  <c r="H28" i="21" s="1"/>
  <c r="G24" i="21"/>
  <c r="H24" i="21" s="1"/>
  <c r="D25" i="21"/>
  <c r="E25" i="21" s="1"/>
  <c r="D27" i="21"/>
  <c r="E27" i="21" s="1"/>
  <c r="D20" i="21"/>
  <c r="E20" i="21" s="1"/>
  <c r="D22" i="21"/>
  <c r="E22" i="21" s="1"/>
  <c r="I22" i="21" s="1"/>
  <c r="L38" i="21" s="1"/>
  <c r="L30" i="17"/>
  <c r="M30" i="17" s="1"/>
  <c r="D30" i="17"/>
  <c r="E30" i="17" s="1"/>
  <c r="H30" i="17"/>
  <c r="I30" i="17" s="1"/>
  <c r="L29" i="17"/>
  <c r="M29" i="17" s="1"/>
  <c r="H29" i="17"/>
  <c r="I29" i="17" s="1"/>
  <c r="D29" i="17"/>
  <c r="E29" i="17" s="1"/>
  <c r="L40" i="17"/>
  <c r="M40" i="17" s="1"/>
  <c r="H40" i="17"/>
  <c r="I40" i="17" s="1"/>
  <c r="D40" i="17"/>
  <c r="E40" i="17" s="1"/>
  <c r="L38" i="17"/>
  <c r="M38" i="17" s="1"/>
  <c r="H38" i="17"/>
  <c r="I38" i="17" s="1"/>
  <c r="D38" i="17"/>
  <c r="E38" i="17" s="1"/>
  <c r="D33" i="17"/>
  <c r="E33" i="17" s="1"/>
  <c r="L33" i="17"/>
  <c r="M33" i="17" s="1"/>
  <c r="H33" i="17"/>
  <c r="I33" i="17" s="1"/>
  <c r="L37" i="17"/>
  <c r="M37" i="17" s="1"/>
  <c r="H37" i="17"/>
  <c r="I37" i="17" s="1"/>
  <c r="D37" i="17"/>
  <c r="E37" i="17" s="1"/>
  <c r="L36" i="17"/>
  <c r="M36" i="17" s="1"/>
  <c r="H36" i="17"/>
  <c r="I36" i="17" s="1"/>
  <c r="D36" i="17"/>
  <c r="E36" i="17" s="1"/>
  <c r="H39" i="17"/>
  <c r="I39" i="17" s="1"/>
  <c r="D39" i="17"/>
  <c r="E39" i="17" s="1"/>
  <c r="L39" i="17"/>
  <c r="M39" i="17" s="1"/>
  <c r="H32" i="17"/>
  <c r="I32" i="17" s="1"/>
  <c r="L32" i="17"/>
  <c r="M32" i="17" s="1"/>
  <c r="D32" i="17"/>
  <c r="E32" i="17" s="1"/>
  <c r="H41" i="17"/>
  <c r="I41" i="17" s="1"/>
  <c r="D41" i="17"/>
  <c r="E41" i="17" s="1"/>
  <c r="L41" i="17"/>
  <c r="M41" i="17" s="1"/>
  <c r="I23" i="21"/>
  <c r="L39" i="21" s="1"/>
  <c r="I20" i="21"/>
  <c r="L36" i="21" s="1"/>
  <c r="I25" i="21"/>
  <c r="L41" i="21" s="1"/>
  <c r="I21" i="21"/>
  <c r="L37" i="21" s="1"/>
  <c r="H108" i="19"/>
  <c r="N26" i="20" s="1"/>
  <c r="D108" i="19"/>
  <c r="F26" i="20" s="1"/>
  <c r="L42" i="20" s="1"/>
  <c r="F27" i="14"/>
  <c r="L50" i="14" s="1"/>
  <c r="M50" i="14" s="1"/>
  <c r="G56" i="5" s="1"/>
  <c r="H56" i="5" s="1"/>
  <c r="D45" i="30" s="1"/>
  <c r="F9" i="11"/>
  <c r="G29" i="11" s="1"/>
  <c r="F10" i="11"/>
  <c r="I29" i="11" s="1"/>
  <c r="F11" i="11"/>
  <c r="K29" i="11" s="1"/>
  <c r="B20" i="13"/>
  <c r="B19" i="13"/>
  <c r="E13" i="9"/>
  <c r="E12" i="9"/>
  <c r="E11" i="9"/>
  <c r="K25" i="11" l="1"/>
  <c r="K21" i="11"/>
  <c r="K19" i="11"/>
  <c r="K22" i="11"/>
  <c r="K20" i="11"/>
  <c r="K23" i="11"/>
  <c r="K24" i="11"/>
  <c r="G22" i="11"/>
  <c r="G21" i="11"/>
  <c r="G23" i="11"/>
  <c r="G19" i="11"/>
  <c r="G24" i="11"/>
  <c r="G20" i="11"/>
  <c r="I21" i="11"/>
  <c r="I19" i="11"/>
  <c r="I22" i="11"/>
  <c r="I25" i="11"/>
  <c r="I24" i="11"/>
  <c r="I20" i="11"/>
  <c r="I23" i="11"/>
  <c r="E37" i="21"/>
  <c r="M37" i="21" s="1"/>
  <c r="G94" i="5" s="1"/>
  <c r="H94" i="5" s="1"/>
  <c r="D83" i="30" s="1"/>
  <c r="E41" i="21"/>
  <c r="M41" i="21" s="1"/>
  <c r="G98" i="5" s="1"/>
  <c r="H98" i="5" s="1"/>
  <c r="D87" i="30" s="1"/>
  <c r="E44" i="21"/>
  <c r="E40" i="21"/>
  <c r="E39" i="21"/>
  <c r="M39" i="21" s="1"/>
  <c r="G96" i="5" s="1"/>
  <c r="H96" i="5" s="1"/>
  <c r="D85" i="30" s="1"/>
  <c r="E36" i="21"/>
  <c r="M36" i="21" s="1"/>
  <c r="E38" i="21"/>
  <c r="M38" i="21" s="1"/>
  <c r="E42" i="21"/>
  <c r="J27" i="14"/>
  <c r="L51" i="14" s="1"/>
  <c r="M51" i="14" s="1"/>
  <c r="G57" i="5" s="1"/>
  <c r="H57" i="5" s="1"/>
  <c r="D46" i="30" s="1"/>
  <c r="N27" i="14"/>
  <c r="L52" i="14" s="1"/>
  <c r="M52" i="14" s="1"/>
  <c r="G59" i="5" s="1"/>
  <c r="H59" i="5" s="1"/>
  <c r="I27" i="21"/>
  <c r="L43" i="21" s="1"/>
  <c r="M43" i="21" s="1"/>
  <c r="G100" i="5" s="1"/>
  <c r="H100" i="5" s="1"/>
  <c r="D89" i="30" s="1"/>
  <c r="I26" i="21"/>
  <c r="L42" i="21" s="1"/>
  <c r="M42" i="21" s="1"/>
  <c r="I28" i="21"/>
  <c r="L44" i="21" s="1"/>
  <c r="M44" i="21" s="1"/>
  <c r="G101" i="5" s="1"/>
  <c r="H101" i="5" s="1"/>
  <c r="D90" i="30" s="1"/>
  <c r="I24" i="21"/>
  <c r="L40" i="21" s="1"/>
  <c r="M40" i="21" s="1"/>
  <c r="G97" i="5" s="1"/>
  <c r="H97" i="5" s="1"/>
  <c r="D86" i="30" s="1"/>
  <c r="F29" i="17"/>
  <c r="L50" i="17" s="1"/>
  <c r="M50" i="17" s="1"/>
  <c r="G68" i="5" s="1"/>
  <c r="H68" i="5" s="1"/>
  <c r="D57" i="30" s="1"/>
  <c r="J29" i="17"/>
  <c r="L51" i="17" s="1"/>
  <c r="M51" i="17" s="1"/>
  <c r="G70" i="5" s="1"/>
  <c r="H70" i="5" s="1"/>
  <c r="D59" i="30" s="1"/>
  <c r="N29" i="17"/>
  <c r="E14" i="9"/>
  <c r="G95" i="5" l="1"/>
  <c r="H95" i="5" s="1"/>
  <c r="D84" i="30" s="1"/>
  <c r="N38" i="21"/>
  <c r="G93" i="5"/>
  <c r="H93" i="5" s="1"/>
  <c r="D82" i="30" s="1"/>
  <c r="N42" i="21"/>
  <c r="G99" i="5"/>
  <c r="H99" i="5" s="1"/>
  <c r="I56" i="5"/>
  <c r="E45" i="30" s="1"/>
  <c r="D48" i="30"/>
  <c r="N51" i="14"/>
  <c r="N50" i="14"/>
  <c r="I59" i="5"/>
  <c r="E48" i="30" s="1"/>
  <c r="I57" i="5"/>
  <c r="E46" i="30" s="1"/>
  <c r="N52" i="14"/>
  <c r="N37" i="21"/>
  <c r="N39" i="21"/>
  <c r="N43" i="21"/>
  <c r="N41" i="21"/>
  <c r="N40" i="21"/>
  <c r="N44" i="21"/>
  <c r="N36" i="21"/>
  <c r="L52" i="17"/>
  <c r="M52" i="17" s="1"/>
  <c r="N50" i="17" s="1"/>
  <c r="G74" i="5"/>
  <c r="H74" i="5" s="1"/>
  <c r="N51" i="17"/>
  <c r="I70" i="5"/>
  <c r="E59" i="30" s="1"/>
  <c r="B37" i="13"/>
  <c r="F11" i="9"/>
  <c r="C62" i="9" s="1"/>
  <c r="F9" i="9"/>
  <c r="F7" i="9"/>
  <c r="F10" i="9"/>
  <c r="F8" i="9"/>
  <c r="F13" i="9"/>
  <c r="I62" i="9" s="1"/>
  <c r="F12" i="9"/>
  <c r="F62" i="9" s="1"/>
  <c r="D88" i="30" l="1"/>
  <c r="I94" i="5"/>
  <c r="E83" i="30" s="1"/>
  <c r="I96" i="5"/>
  <c r="E85" i="30" s="1"/>
  <c r="I97" i="5"/>
  <c r="E86" i="30" s="1"/>
  <c r="I95" i="5"/>
  <c r="E84" i="30" s="1"/>
  <c r="I99" i="5"/>
  <c r="E88" i="30" s="1"/>
  <c r="I98" i="5"/>
  <c r="E87" i="30" s="1"/>
  <c r="I93" i="5"/>
  <c r="E82" i="30" s="1"/>
  <c r="I101" i="5"/>
  <c r="E90" i="30" s="1"/>
  <c r="I100" i="5"/>
  <c r="E89" i="30" s="1"/>
  <c r="H47" i="9"/>
  <c r="H51" i="9"/>
  <c r="H55" i="9"/>
  <c r="H59" i="9"/>
  <c r="H46" i="9"/>
  <c r="H50" i="9"/>
  <c r="H54" i="9"/>
  <c r="H58" i="9"/>
  <c r="H49" i="9"/>
  <c r="H53" i="9"/>
  <c r="H57" i="9"/>
  <c r="H45" i="9"/>
  <c r="H48" i="9"/>
  <c r="H52" i="9"/>
  <c r="H56" i="9"/>
  <c r="H60" i="9"/>
  <c r="K46" i="9"/>
  <c r="K50" i="9"/>
  <c r="K54" i="9"/>
  <c r="K58" i="9"/>
  <c r="K47" i="9"/>
  <c r="K51" i="9"/>
  <c r="K55" i="9"/>
  <c r="K59" i="9"/>
  <c r="K48" i="9"/>
  <c r="K52" i="9"/>
  <c r="K56" i="9"/>
  <c r="K45" i="9"/>
  <c r="K49" i="9"/>
  <c r="K53" i="9"/>
  <c r="K57" i="9"/>
  <c r="E47" i="9"/>
  <c r="E49" i="9"/>
  <c r="E46" i="9"/>
  <c r="E48" i="9"/>
  <c r="E51" i="9"/>
  <c r="E53" i="9"/>
  <c r="E55" i="9"/>
  <c r="E57" i="9"/>
  <c r="E59" i="9"/>
  <c r="E52" i="9"/>
  <c r="E56" i="9"/>
  <c r="E45" i="9"/>
  <c r="E50" i="9"/>
  <c r="E54" i="9"/>
  <c r="E58" i="9"/>
  <c r="I74" i="5"/>
  <c r="E63" i="30" s="1"/>
  <c r="D63" i="30"/>
  <c r="I68" i="5"/>
  <c r="E57" i="30" s="1"/>
  <c r="N52" i="17"/>
  <c r="G59" i="9"/>
  <c r="G53" i="9"/>
  <c r="G46" i="9"/>
  <c r="G55" i="9"/>
  <c r="G50" i="9"/>
  <c r="G45" i="9"/>
  <c r="G56" i="9"/>
  <c r="G51" i="9"/>
  <c r="G48" i="9"/>
  <c r="G57" i="9"/>
  <c r="G52" i="9"/>
  <c r="G47" i="9"/>
  <c r="D55" i="9"/>
  <c r="D50" i="9"/>
  <c r="D45" i="9"/>
  <c r="D57" i="9"/>
  <c r="D53" i="9"/>
  <c r="D48" i="9"/>
  <c r="D56" i="9"/>
  <c r="D52" i="9"/>
  <c r="D47" i="9"/>
  <c r="D59" i="9"/>
  <c r="D51" i="9"/>
  <c r="D46" i="9"/>
  <c r="J59" i="9"/>
  <c r="J53" i="9"/>
  <c r="J46" i="9"/>
  <c r="J55" i="9"/>
  <c r="J50" i="9"/>
  <c r="J45" i="9"/>
  <c r="J56" i="9"/>
  <c r="J51" i="9"/>
  <c r="J48" i="9"/>
  <c r="J57" i="9"/>
  <c r="J52" i="9"/>
  <c r="J47" i="9"/>
  <c r="J32" i="9"/>
  <c r="K32" i="9" s="1"/>
  <c r="J22" i="9"/>
  <c r="K22" i="9" s="1"/>
  <c r="J34" i="9"/>
  <c r="K34" i="9" s="1"/>
  <c r="J25" i="9"/>
  <c r="K25" i="9" s="1"/>
  <c r="J24" i="9"/>
  <c r="K24" i="9" s="1"/>
  <c r="J30" i="9"/>
  <c r="K30" i="9" s="1"/>
  <c r="J28" i="9"/>
  <c r="K28" i="9" s="1"/>
  <c r="J33" i="9"/>
  <c r="K33" i="9" s="1"/>
  <c r="J27" i="9"/>
  <c r="K27" i="9" s="1"/>
  <c r="J29" i="9"/>
  <c r="K29" i="9" s="1"/>
  <c r="J36" i="9"/>
  <c r="K36" i="9" s="1"/>
  <c r="J23" i="9"/>
  <c r="K23" i="9" s="1"/>
  <c r="D33" i="9"/>
  <c r="E33" i="9" s="1"/>
  <c r="D27" i="9"/>
  <c r="E27" i="9" s="1"/>
  <c r="D25" i="9"/>
  <c r="E25" i="9" s="1"/>
  <c r="D36" i="9"/>
  <c r="E36" i="9" s="1"/>
  <c r="D34" i="9"/>
  <c r="E34" i="9" s="1"/>
  <c r="D22" i="9"/>
  <c r="E22" i="9" s="1"/>
  <c r="D29" i="9"/>
  <c r="E29" i="9" s="1"/>
  <c r="D23" i="9"/>
  <c r="E23" i="9" s="1"/>
  <c r="D28" i="9"/>
  <c r="E28" i="9" s="1"/>
  <c r="F14" i="9"/>
  <c r="D24" i="9"/>
  <c r="E24" i="9" s="1"/>
  <c r="D32" i="9"/>
  <c r="E32" i="9" s="1"/>
  <c r="D30" i="9"/>
  <c r="E30" i="9" s="1"/>
  <c r="M27" i="9"/>
  <c r="N27" i="9" s="1"/>
  <c r="M23" i="9"/>
  <c r="N23" i="9" s="1"/>
  <c r="M32" i="9"/>
  <c r="N32" i="9" s="1"/>
  <c r="M25" i="9"/>
  <c r="N25" i="9" s="1"/>
  <c r="M33" i="9"/>
  <c r="N33" i="9" s="1"/>
  <c r="M24" i="9"/>
  <c r="N24" i="9" s="1"/>
  <c r="M28" i="9"/>
  <c r="N28" i="9" s="1"/>
  <c r="M29" i="9"/>
  <c r="N29" i="9" s="1"/>
  <c r="M22" i="9"/>
  <c r="N22" i="9" s="1"/>
  <c r="M36" i="9"/>
  <c r="N36" i="9" s="1"/>
  <c r="M30" i="9"/>
  <c r="N30" i="9" s="1"/>
  <c r="M34" i="9"/>
  <c r="N34" i="9" s="1"/>
  <c r="G24" i="9"/>
  <c r="H24" i="9" s="1"/>
  <c r="G23" i="9"/>
  <c r="H23" i="9" s="1"/>
  <c r="G27" i="9"/>
  <c r="H27" i="9" s="1"/>
  <c r="G33" i="9"/>
  <c r="H33" i="9" s="1"/>
  <c r="G36" i="9"/>
  <c r="H36" i="9" s="1"/>
  <c r="G28" i="9"/>
  <c r="H28" i="9" s="1"/>
  <c r="G32" i="9"/>
  <c r="H32" i="9" s="1"/>
  <c r="G22" i="9"/>
  <c r="H22" i="9" s="1"/>
  <c r="G30" i="9"/>
  <c r="H30" i="9" s="1"/>
  <c r="G29" i="9"/>
  <c r="H29" i="9" s="1"/>
  <c r="G34" i="9"/>
  <c r="H34" i="9" s="1"/>
  <c r="G25" i="9"/>
  <c r="H25" i="9" s="1"/>
  <c r="O29" i="9" l="1"/>
  <c r="L52" i="9" s="1"/>
  <c r="M52" i="9" s="1"/>
  <c r="G39" i="5" s="1"/>
  <c r="O30" i="9"/>
  <c r="L53" i="9" s="1"/>
  <c r="M53" i="9" s="1"/>
  <c r="G40" i="5" s="1"/>
  <c r="O34" i="9"/>
  <c r="L57" i="9" s="1"/>
  <c r="M57" i="9" s="1"/>
  <c r="G44" i="5" s="1"/>
  <c r="H44" i="5" s="1"/>
  <c r="D33" i="30" s="1"/>
  <c r="O33" i="9"/>
  <c r="L56" i="9" s="1"/>
  <c r="M56" i="9" s="1"/>
  <c r="O22" i="9"/>
  <c r="L45" i="9" s="1"/>
  <c r="M45" i="9" s="1"/>
  <c r="G32" i="5" s="1"/>
  <c r="H32" i="5" s="1"/>
  <c r="D21" i="30" s="1"/>
  <c r="O27" i="9"/>
  <c r="L50" i="9" s="1"/>
  <c r="M50" i="9" s="1"/>
  <c r="G37" i="5" s="1"/>
  <c r="O25" i="9"/>
  <c r="L48" i="9" s="1"/>
  <c r="M48" i="9" s="1"/>
  <c r="G35" i="5" s="1"/>
  <c r="H35" i="5" s="1"/>
  <c r="D24" i="30" s="1"/>
  <c r="O24" i="9"/>
  <c r="L47" i="9" s="1"/>
  <c r="M47" i="9" s="1"/>
  <c r="G34" i="5" s="1"/>
  <c r="H34" i="5" s="1"/>
  <c r="D23" i="30" s="1"/>
  <c r="O32" i="9"/>
  <c r="L55" i="9" s="1"/>
  <c r="M55" i="9" s="1"/>
  <c r="G42" i="5" s="1"/>
  <c r="H42" i="5" s="1"/>
  <c r="D31" i="30" s="1"/>
  <c r="O23" i="9"/>
  <c r="L46" i="9" s="1"/>
  <c r="M46" i="9" s="1"/>
  <c r="G33" i="5" s="1"/>
  <c r="H33" i="5" s="1"/>
  <c r="D22" i="30" s="1"/>
  <c r="O36" i="9"/>
  <c r="L59" i="9" s="1"/>
  <c r="M59" i="9" s="1"/>
  <c r="G46" i="5" s="1"/>
  <c r="H46" i="5" s="1"/>
  <c r="D35" i="30" s="1"/>
  <c r="O28" i="9"/>
  <c r="L51" i="9" s="1"/>
  <c r="M51" i="9" s="1"/>
  <c r="G38" i="5" s="1"/>
  <c r="G43" i="5" l="1"/>
  <c r="H43" i="5" s="1"/>
  <c r="D32" i="30" s="1"/>
  <c r="N46" i="9"/>
  <c r="N51" i="9"/>
  <c r="N56" i="9"/>
  <c r="N45" i="9"/>
  <c r="N50" i="9"/>
  <c r="N55" i="9"/>
  <c r="N48" i="9"/>
  <c r="N53" i="9"/>
  <c r="N59" i="9"/>
  <c r="N47" i="9"/>
  <c r="N52" i="9"/>
  <c r="N57" i="9"/>
  <c r="B24" i="13"/>
  <c r="H39" i="5"/>
  <c r="D28" i="30" s="1"/>
  <c r="B23" i="13"/>
  <c r="H38" i="5"/>
  <c r="D27" i="30" s="1"/>
  <c r="H37" i="5"/>
  <c r="D26" i="30" s="1"/>
  <c r="B22" i="13"/>
  <c r="B25" i="13"/>
  <c r="H40" i="5"/>
  <c r="D29" i="30" s="1"/>
  <c r="I32" i="5" l="1"/>
  <c r="E21" i="30" s="1"/>
  <c r="I38" i="5"/>
  <c r="E27" i="30" s="1"/>
  <c r="I33" i="5"/>
  <c r="E22" i="30" s="1"/>
  <c r="I46" i="5"/>
  <c r="E35" i="30" s="1"/>
  <c r="I40" i="5"/>
  <c r="E29" i="30" s="1"/>
  <c r="I34" i="5"/>
  <c r="E23" i="30" s="1"/>
  <c r="I35" i="5"/>
  <c r="E24" i="30" s="1"/>
  <c r="I42" i="5"/>
  <c r="E31" i="30" s="1"/>
  <c r="I39" i="5"/>
  <c r="E28" i="30" s="1"/>
  <c r="I37" i="5"/>
  <c r="E26" i="30" s="1"/>
  <c r="I43" i="5"/>
  <c r="E32" i="30" s="1"/>
  <c r="I44" i="5"/>
  <c r="E33" i="30" s="1"/>
  <c r="L25" i="11"/>
  <c r="L24" i="11"/>
  <c r="L19" i="11"/>
  <c r="G16" i="5" s="1"/>
  <c r="L20" i="11"/>
  <c r="G17" i="5" s="1"/>
  <c r="L21" i="11"/>
  <c r="L23" i="11"/>
  <c r="D19" i="11"/>
  <c r="D23" i="11"/>
  <c r="D20" i="11"/>
  <c r="D24" i="11"/>
  <c r="F12" i="11"/>
  <c r="D22" i="11"/>
  <c r="D21" i="11"/>
  <c r="D25" i="11"/>
  <c r="L22" i="11"/>
  <c r="G22" i="5" l="1"/>
  <c r="H22" i="5" s="1"/>
  <c r="D11" i="30" s="1"/>
  <c r="M25" i="11"/>
  <c r="G21" i="5"/>
  <c r="H21" i="5" s="1"/>
  <c r="D10" i="30" s="1"/>
  <c r="M24" i="11"/>
  <c r="G18" i="5"/>
  <c r="H18" i="5" s="1"/>
  <c r="D7" i="30" s="1"/>
  <c r="M21" i="11"/>
  <c r="G20" i="5"/>
  <c r="H20" i="5" s="1"/>
  <c r="D9" i="30" s="1"/>
  <c r="M23" i="11"/>
  <c r="G19" i="5"/>
  <c r="H19" i="5" s="1"/>
  <c r="D8" i="30" s="1"/>
  <c r="M22" i="11"/>
  <c r="H16" i="5"/>
  <c r="D5" i="30" s="1"/>
  <c r="M19" i="11"/>
  <c r="H17" i="5"/>
  <c r="D6" i="30" s="1"/>
  <c r="M20" i="11"/>
  <c r="I19" i="5" l="1"/>
  <c r="E8" i="30" s="1"/>
  <c r="I18" i="5"/>
  <c r="E7" i="30" s="1"/>
  <c r="I22" i="5"/>
  <c r="E11" i="30" s="1"/>
  <c r="I16" i="5"/>
  <c r="E5" i="30" s="1"/>
  <c r="I17" i="5"/>
  <c r="E6" i="30" s="1"/>
  <c r="I21" i="5"/>
  <c r="E10" i="30" s="1"/>
  <c r="I20" i="5"/>
  <c r="E9" i="30" s="1"/>
  <c r="F21" i="20"/>
  <c r="G12" i="20" l="1"/>
  <c r="G16" i="20"/>
  <c r="G20" i="20"/>
  <c r="I46" i="20" s="1"/>
  <c r="G11" i="20"/>
  <c r="G15" i="20"/>
  <c r="G19" i="20"/>
  <c r="F46" i="20" s="1"/>
  <c r="H42" i="20" s="1"/>
  <c r="G10" i="20"/>
  <c r="G14" i="20"/>
  <c r="G18" i="20"/>
  <c r="C46" i="20" s="1"/>
  <c r="E43" i="20" s="1"/>
  <c r="G13" i="20"/>
  <c r="G17" i="20"/>
  <c r="G9" i="20"/>
  <c r="K44" i="20" l="1"/>
  <c r="K42" i="20"/>
  <c r="K43" i="20"/>
  <c r="L27" i="20"/>
  <c r="M27" i="20" s="1"/>
  <c r="H27" i="20"/>
  <c r="I27" i="20" s="1"/>
  <c r="D27" i="20"/>
  <c r="E27" i="20" s="1"/>
  <c r="G44" i="20"/>
  <c r="H44" i="20" s="1"/>
  <c r="D42" i="20"/>
  <c r="E42" i="20" s="1"/>
  <c r="G43" i="20"/>
  <c r="H43" i="20" s="1"/>
  <c r="D44" i="20"/>
  <c r="E44" i="20" s="1"/>
  <c r="D43" i="20"/>
  <c r="G42" i="20"/>
  <c r="L32" i="20"/>
  <c r="M32" i="20" s="1"/>
  <c r="H32" i="20"/>
  <c r="I32" i="20" s="1"/>
  <c r="D32" i="20"/>
  <c r="E32" i="20" s="1"/>
  <c r="L29" i="20"/>
  <c r="M29" i="20" s="1"/>
  <c r="H29" i="20"/>
  <c r="I29" i="20" s="1"/>
  <c r="D29" i="20"/>
  <c r="E29" i="20" s="1"/>
  <c r="L30" i="20"/>
  <c r="M30" i="20" s="1"/>
  <c r="H30" i="20"/>
  <c r="I30" i="20" s="1"/>
  <c r="D30" i="20"/>
  <c r="E30" i="20" s="1"/>
  <c r="L33" i="20"/>
  <c r="M33" i="20" s="1"/>
  <c r="H33" i="20"/>
  <c r="I33" i="20" s="1"/>
  <c r="D33" i="20"/>
  <c r="E33" i="20" s="1"/>
  <c r="L34" i="20"/>
  <c r="M34" i="20" s="1"/>
  <c r="H34" i="20"/>
  <c r="I34" i="20" s="1"/>
  <c r="D34" i="20"/>
  <c r="E34" i="20" s="1"/>
  <c r="J44" i="20"/>
  <c r="J43" i="20"/>
  <c r="J42" i="20"/>
  <c r="G21" i="20"/>
  <c r="L26" i="20"/>
  <c r="M26" i="20" s="1"/>
  <c r="H26" i="20"/>
  <c r="I26" i="20" s="1"/>
  <c r="D26" i="20"/>
  <c r="E26" i="20" s="1"/>
  <c r="L31" i="20"/>
  <c r="M31" i="20" s="1"/>
  <c r="H31" i="20"/>
  <c r="I31" i="20" s="1"/>
  <c r="D31" i="20"/>
  <c r="E31" i="20" s="1"/>
  <c r="L28" i="20"/>
  <c r="M28" i="20" s="1"/>
  <c r="H28" i="20"/>
  <c r="I28" i="20" s="1"/>
  <c r="D28" i="20"/>
  <c r="E28" i="20" s="1"/>
  <c r="L43" i="20" l="1"/>
  <c r="M43" i="20" s="1"/>
  <c r="G84" i="5" s="1"/>
  <c r="H84" i="5" s="1"/>
  <c r="D73" i="30" s="1"/>
  <c r="M42" i="20"/>
  <c r="G82" i="5" s="1"/>
  <c r="H82" i="5" s="1"/>
  <c r="D71" i="30" s="1"/>
  <c r="L44" i="20"/>
  <c r="M44" i="20" s="1"/>
  <c r="G85" i="5" s="1"/>
  <c r="H85" i="5" s="1"/>
  <c r="D74" i="30" s="1"/>
  <c r="I84" i="5" l="1"/>
  <c r="E73" i="30" s="1"/>
  <c r="I85" i="5"/>
  <c r="E74" i="30" s="1"/>
  <c r="I82" i="5"/>
  <c r="E71" i="30" s="1"/>
  <c r="N43" i="20"/>
  <c r="N42" i="20"/>
  <c r="N44" i="20"/>
</calcChain>
</file>

<file path=xl/sharedStrings.xml><?xml version="1.0" encoding="utf-8"?>
<sst xmlns="http://schemas.openxmlformats.org/spreadsheetml/2006/main" count="3448" uniqueCount="1131">
  <si>
    <t>Precio de Licitación:</t>
  </si>
  <si>
    <t>Puntos:</t>
  </si>
  <si>
    <t>Precio Unidad</t>
  </si>
  <si>
    <t>Precio Total</t>
  </si>
  <si>
    <t>Porcentaje</t>
  </si>
  <si>
    <r>
      <t xml:space="preserve"> </t>
    </r>
    <r>
      <rPr>
        <b/>
        <sz val="10"/>
        <color indexed="8"/>
        <rFont val="Arial"/>
        <family val="2"/>
      </rPr>
      <t xml:space="preserve">Código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</si>
  <si>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Descripción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</si>
  <si>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8"/>
        <rFont val="Arial"/>
        <family val="2"/>
      </rPr>
      <t xml:space="preserve">Unidades </t>
    </r>
    <r>
      <rPr>
        <b/>
        <sz val="10"/>
        <rFont val="Arial"/>
        <family val="2"/>
      </rPr>
      <t xml:space="preserve"> </t>
    </r>
  </si>
  <si>
    <t>EXPEDIENTE Nº 423/09</t>
  </si>
  <si>
    <t>EMPRESA:</t>
  </si>
  <si>
    <t>ITEMS</t>
  </si>
  <si>
    <t>Puntuación Total Items</t>
  </si>
  <si>
    <t>Ponderación según Porcentaje</t>
  </si>
  <si>
    <t>Puntuación Ponderada</t>
  </si>
  <si>
    <t>Propuesta Técnica</t>
  </si>
  <si>
    <t>Mejoras</t>
  </si>
  <si>
    <t>Empresa</t>
  </si>
  <si>
    <t>Valoración Económica</t>
  </si>
  <si>
    <t>Garantías</t>
  </si>
  <si>
    <t>Puntuación Total</t>
  </si>
  <si>
    <t>Orden de Priodidad</t>
  </si>
  <si>
    <t>Porcentaje de Baja</t>
  </si>
  <si>
    <t>Puntuación Económica</t>
  </si>
  <si>
    <t>Oferta más baja</t>
  </si>
  <si>
    <t>Valor Punto:</t>
  </si>
  <si>
    <t>Parte Objetiva</t>
  </si>
  <si>
    <t>Años ofertados</t>
  </si>
  <si>
    <t>Parte Subjetiva</t>
  </si>
  <si>
    <t>Puntuación Técnica</t>
  </si>
  <si>
    <t>Puntuación</t>
  </si>
  <si>
    <r>
      <t xml:space="preserve"> </t>
    </r>
    <r>
      <rPr>
        <sz val="10"/>
        <color indexed="8"/>
        <rFont val="Arial"/>
        <family val="2"/>
      </rPr>
      <t xml:space="preserve">-Número Puntos (Np): Número de puntos a distribuir en el lote a valorar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</si>
  <si>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-Importe Licitación (IL): Valor máximo del precio del lote. Se expresa en euros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</si>
  <si>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-Valor Punto (Vp): Valor obtenido de la división entre el IL y Np. Se expresa en euros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</si>
  <si>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-Importe Ofertas (Io): Valor de cada una de las ofertas económicas presentadas por las empresas. Se expresa en euros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</si>
  <si>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-Importe Ofertado Mínimo (Iom): Valor de la oferta más baja entre las presentadas por las empresas. Se expresa en euros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</si>
  <si>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-Puntos de la empresa (Cp): Valor asignado a cada empresa ofertante en función del Importe de su Oferta.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</si>
  <si>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-Fórmula: C</t>
    </r>
    <r>
      <rPr>
        <sz val="6"/>
        <color indexed="8"/>
        <rFont val="Arial"/>
        <family val="2"/>
      </rPr>
      <t xml:space="preserve">P </t>
    </r>
    <r>
      <rPr>
        <sz val="10"/>
        <color indexed="8"/>
        <rFont val="Arial"/>
        <family val="2"/>
      </rPr>
      <t xml:space="preserve">: (Np – (Io-Iom))/Vp </t>
    </r>
    <r>
      <rPr>
        <sz val="10"/>
        <rFont val="Arial"/>
        <family val="2"/>
      </rPr>
      <t xml:space="preserve"> </t>
    </r>
  </si>
  <si>
    <t xml:space="preserve"> Código  </t>
  </si>
  <si>
    <t xml:space="preserve"> Descripción  </t>
  </si>
  <si>
    <t xml:space="preserve"> Unidades  </t>
  </si>
  <si>
    <t xml:space="preserve"> G0202  </t>
  </si>
  <si>
    <t>Ruedas</t>
  </si>
  <si>
    <t>Regulación de altura</t>
  </si>
  <si>
    <t>Mecanismos</t>
  </si>
  <si>
    <t>Base</t>
  </si>
  <si>
    <t>Asiento</t>
  </si>
  <si>
    <t>TOTAL</t>
  </si>
  <si>
    <t>Estabilidad</t>
  </si>
  <si>
    <t>Resistencia Mecánica</t>
  </si>
  <si>
    <t>Diseño / Funcionalidad</t>
  </si>
  <si>
    <t>TOTAL PUNTUACIÓN</t>
  </si>
  <si>
    <t xml:space="preserve"> CAJONERA RODANTE CON TRES CAJONES  </t>
  </si>
  <si>
    <t xml:space="preserve"> ARMARIO ALTO CON PUERTAS BAJAS  </t>
  </si>
  <si>
    <t xml:space="preserve"> ARMARIO ALTO VITRINA PUERTAS BAJAS  </t>
  </si>
  <si>
    <t>Precio Unidad (sin IVA)</t>
  </si>
  <si>
    <t>Precio Unidad (con IVA)</t>
  </si>
  <si>
    <t>Aluminio/Metálico pintado</t>
  </si>
  <si>
    <t>Aluminio Pulido</t>
  </si>
  <si>
    <t>PVC</t>
  </si>
  <si>
    <t>Giro</t>
  </si>
  <si>
    <t>Altura</t>
  </si>
  <si>
    <t>Anchura</t>
  </si>
  <si>
    <t>Profundidad</t>
  </si>
  <si>
    <t>Superficie blanda</t>
  </si>
  <si>
    <t>Superficie dura</t>
  </si>
  <si>
    <t>Espuma &lt;35 kg/m3 / No se indica</t>
  </si>
  <si>
    <t>Cromado - Pulido (antiestático)</t>
  </si>
  <si>
    <t>Amortiguador de absorción de impacto</t>
  </si>
  <si>
    <t>Duras</t>
  </si>
  <si>
    <t>Blandas</t>
  </si>
  <si>
    <t>Antiestáticas</t>
  </si>
  <si>
    <t>Autofrenadas</t>
  </si>
  <si>
    <t>No autofrenadas</t>
  </si>
  <si>
    <t>Poliamida</t>
  </si>
  <si>
    <t>Aluninio pintado</t>
  </si>
  <si>
    <t>Aluninio pulido</t>
  </si>
  <si>
    <t>Basculación sincronizada asiento y respaldo</t>
  </si>
  <si>
    <t>Regulación de profundidad</t>
  </si>
  <si>
    <t>Reposacabezas</t>
  </si>
  <si>
    <t>Fijo</t>
  </si>
  <si>
    <t>Regulable</t>
  </si>
  <si>
    <t>Ignifugación</t>
  </si>
  <si>
    <t>Humo: No se produce</t>
  </si>
  <si>
    <t>Tejido: No produce llama</t>
  </si>
  <si>
    <t>Tejido: Produce llama</t>
  </si>
  <si>
    <t>Espuma: Sin pérdida de masa.</t>
  </si>
  <si>
    <t>Espuma: Poca pérdida de masa.</t>
  </si>
  <si>
    <t>Espuma: No arde</t>
  </si>
  <si>
    <t>Espuma: Arde y se autoextingue en menos de 15 seg.</t>
  </si>
  <si>
    <t>Espuma: Arde y se autoextingue en menos de 30 seg.</t>
  </si>
  <si>
    <t>Espuma: Arde y no se autoextingue en menos de 30 seg.</t>
  </si>
  <si>
    <r>
      <t xml:space="preserve"> </t>
    </r>
    <r>
      <rPr>
        <sz val="10"/>
        <color indexed="8"/>
        <rFont val="Arial"/>
        <family val="2"/>
      </rPr>
      <t xml:space="preserve">G0205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</si>
  <si>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CONFIDENTE</t>
    </r>
    <r>
      <rPr>
        <sz val="10"/>
        <rFont val="Arial"/>
        <family val="2"/>
      </rPr>
      <t xml:space="preserve"> </t>
    </r>
  </si>
  <si>
    <t>No tiene</t>
  </si>
  <si>
    <t>Si tiene</t>
  </si>
  <si>
    <t>Aluninio/Acero pintado</t>
  </si>
  <si>
    <r>
      <t xml:space="preserve">Espuma </t>
    </r>
    <r>
      <rPr>
        <sz val="10"/>
        <rFont val="Arial"/>
        <family val="2"/>
      </rPr>
      <t>≥</t>
    </r>
    <r>
      <rPr>
        <sz val="10"/>
        <rFont val="Arial"/>
        <family val="2"/>
      </rPr>
      <t xml:space="preserve">50 kg/m3 </t>
    </r>
  </si>
  <si>
    <t>Puntos Máximos: 5</t>
  </si>
  <si>
    <t>No tiene / Malo</t>
  </si>
  <si>
    <t>PAPELERA DE DESPACHO</t>
  </si>
  <si>
    <t>Metálica atornillada</t>
  </si>
  <si>
    <t xml:space="preserve">Excéntrica </t>
  </si>
  <si>
    <t>Ruedas con freno</t>
  </si>
  <si>
    <t>Ruedas sin freno</t>
  </si>
  <si>
    <t>Sin Sistema Antivuelco</t>
  </si>
  <si>
    <t>Excéntrica de gran esfuerzo</t>
  </si>
  <si>
    <t>Encolada</t>
  </si>
  <si>
    <t>Excéntrica normal</t>
  </si>
  <si>
    <t>s</t>
  </si>
  <si>
    <t>PAPELERA DE PASILLO</t>
  </si>
  <si>
    <t>TABLÓN DE CORCHO CON PATAS</t>
  </si>
  <si>
    <t>Precio Total (IVA Incluido)</t>
  </si>
  <si>
    <t>Regulacion 2 patas</t>
  </si>
  <si>
    <t>Regulacion 1 pata</t>
  </si>
  <si>
    <t>Grosor de los tableros</t>
  </si>
  <si>
    <t>Más de 25 mm de grosor</t>
  </si>
  <si>
    <t>Entre 20 y 25 mm de grosor</t>
  </si>
  <si>
    <t>Menos de 20 mm de grosor</t>
  </si>
  <si>
    <t>No tiene holguras ni desperfectos en desplazamientos</t>
  </si>
  <si>
    <t>Tiene holguras y desperfectos en desplazamientos</t>
  </si>
  <si>
    <t>Tiene holguras o desperfectos en desplazamientos</t>
  </si>
  <si>
    <t>Terminación de las uniones y soldaduras</t>
  </si>
  <si>
    <t>Soldaduras y uniones con rebabas</t>
  </si>
  <si>
    <t>Soldaduras y uniones homogéneas</t>
  </si>
  <si>
    <t>Mesas electrificadas con 8 o más enchufes shuko</t>
  </si>
  <si>
    <t>Mesas electrificadas con 4 o 5 enchufes shuko</t>
  </si>
  <si>
    <t>Mesas electrificadas con 6 o 7 enchufes shuko</t>
  </si>
  <si>
    <t>Atornillada</t>
  </si>
  <si>
    <t>Cerraduras con nucleo extraible</t>
  </si>
  <si>
    <t>Bandeja portalápices / separadores internos</t>
  </si>
  <si>
    <t>Regulacion 4 patas externa</t>
  </si>
  <si>
    <t>Regulacion 4 patas interna</t>
  </si>
  <si>
    <t>Cerradura de seguridad</t>
  </si>
  <si>
    <t>Cerraduras</t>
  </si>
  <si>
    <t>Cerradura normal</t>
  </si>
  <si>
    <t>Vidrios</t>
  </si>
  <si>
    <t>Vidrio de seguridad 3+3</t>
  </si>
  <si>
    <t>Vidrio de seguridad 2+2</t>
  </si>
  <si>
    <t>Vidrio templado / normal</t>
  </si>
  <si>
    <t>Si</t>
  </si>
  <si>
    <t>Metálico</t>
  </si>
  <si>
    <t>Con sistema antivuelco</t>
  </si>
  <si>
    <t>Chapa acero inoxidable</t>
  </si>
  <si>
    <t>Chapa galvanizada</t>
  </si>
  <si>
    <t>Grosor de la pintura</t>
  </si>
  <si>
    <t>Grosor de la chapa</t>
  </si>
  <si>
    <t>Armazón</t>
  </si>
  <si>
    <t>Ensamblaje</t>
  </si>
  <si>
    <t>Soldadura</t>
  </si>
  <si>
    <t>Nivelación</t>
  </si>
  <si>
    <t>Regulacion 4 patas</t>
  </si>
  <si>
    <t>Tuerca soldada oculta</t>
  </si>
  <si>
    <t>Canaleta recogecables en chapa de acero</t>
  </si>
  <si>
    <t>Canaleta recogecables en PVC, poliprop. o ABS</t>
  </si>
  <si>
    <t>Cuerpo (tableros)</t>
  </si>
  <si>
    <t>Tapa (Tableros)</t>
  </si>
  <si>
    <t>Cajones</t>
  </si>
  <si>
    <t>Chapa de acero</t>
  </si>
  <si>
    <t>Tablero de madera</t>
  </si>
  <si>
    <t>Guias metálicas</t>
  </si>
  <si>
    <t>Guias en ABS, Polipropileno o PVC</t>
  </si>
  <si>
    <t>Rodamiento por bolas</t>
  </si>
  <si>
    <t>Rodamiento por ruedas</t>
  </si>
  <si>
    <t>Núcleo extraible</t>
  </si>
  <si>
    <t>Canteado</t>
  </si>
  <si>
    <t>Madera</t>
  </si>
  <si>
    <t>Sin cantear</t>
  </si>
  <si>
    <t>Toma RJ45</t>
  </si>
  <si>
    <t>Más de 24 mm de grosor</t>
  </si>
  <si>
    <t>Regulación de estantes en todo el costado</t>
  </si>
  <si>
    <t>Estantes</t>
  </si>
  <si>
    <t>Trasera</t>
  </si>
  <si>
    <t>Tablero de hasta 10 mm</t>
  </si>
  <si>
    <t>Más de 0,5 mm de grosor</t>
  </si>
  <si>
    <t>Entre 0,2 y 0,5 mm de grosor</t>
  </si>
  <si>
    <t>Menos de 0,1 mm de grosor</t>
  </si>
  <si>
    <t>Pintura</t>
  </si>
  <si>
    <t>Epoxi</t>
  </si>
  <si>
    <t>Cromado</t>
  </si>
  <si>
    <t>No</t>
  </si>
  <si>
    <t>Sin ruedas</t>
  </si>
  <si>
    <t>Pueden colocarse tanto horizontales como verticales</t>
  </si>
  <si>
    <t>Menos de 5 mm de grosor</t>
  </si>
  <si>
    <t>Entre 5 y 10 mm de grosor</t>
  </si>
  <si>
    <t>Más de 10 mm de grosor</t>
  </si>
  <si>
    <t>Grosor del tablero (sin el corcho)</t>
  </si>
  <si>
    <t>Grosor del corcho</t>
  </si>
  <si>
    <t>Barnizada</t>
  </si>
  <si>
    <t>Nº Colgadores</t>
  </si>
  <si>
    <t>Material de los colgadores</t>
  </si>
  <si>
    <t>Total Puntuación Técnica</t>
  </si>
  <si>
    <t>Propuesta Técnica (P.T.)</t>
  </si>
  <si>
    <r>
      <t xml:space="preserve">Código </t>
    </r>
    <r>
      <rPr>
        <b/>
        <sz val="10"/>
        <rFont val="Arial"/>
        <family val="2"/>
      </rPr>
      <t xml:space="preserve"> </t>
    </r>
  </si>
  <si>
    <t>Estructura (Bastidor)</t>
  </si>
  <si>
    <t>Estructura (Patas)</t>
  </si>
  <si>
    <t>Aluminio/Acero pulido</t>
  </si>
  <si>
    <t>Poliamida/PVC</t>
  </si>
  <si>
    <t>&lt;40 cm</t>
  </si>
  <si>
    <t>Brazos (Anchura)</t>
  </si>
  <si>
    <t>Brazos (Longitud útil)</t>
  </si>
  <si>
    <r>
      <t>&lt; 20</t>
    </r>
    <r>
      <rPr>
        <sz val="10"/>
        <rFont val="Arial"/>
        <family val="2"/>
      </rPr>
      <t xml:space="preserve"> cm </t>
    </r>
  </si>
  <si>
    <t>Pistón</t>
  </si>
  <si>
    <r>
      <t>&lt; 46</t>
    </r>
    <r>
      <rPr>
        <sz val="10"/>
        <rFont val="Arial"/>
        <family val="2"/>
      </rPr>
      <t xml:space="preserve"> cm </t>
    </r>
  </si>
  <si>
    <t>Brazos (Maniobras)</t>
  </si>
  <si>
    <t>Brazos (Material)</t>
  </si>
  <si>
    <t>Asiento (altura)</t>
  </si>
  <si>
    <t>Asiento (anchura)</t>
  </si>
  <si>
    <t>Asiento (Profundidad)</t>
  </si>
  <si>
    <t>≥40 cm</t>
  </si>
  <si>
    <t>Fdo. Ana Araceli Peña Fernández</t>
  </si>
  <si>
    <t>Fdo. José Fernando Saldaña Cruz.</t>
  </si>
  <si>
    <t>Estructura (Grosor Bastidor)</t>
  </si>
  <si>
    <t xml:space="preserve"> ≥1,5 &lt;3 cm</t>
  </si>
  <si>
    <t>&gt;3 cm</t>
  </si>
  <si>
    <t xml:space="preserve"> ≥0 &lt;1,5 cm</t>
  </si>
  <si>
    <t>Estructura (Grosor Patas)</t>
  </si>
  <si>
    <t>Brazos (Grosor del Brazo)</t>
  </si>
  <si>
    <t>Pintura (Grosor del epoxi)</t>
  </si>
  <si>
    <t>&gt;100 micras</t>
  </si>
  <si>
    <t>Sistema de unión de las sillas</t>
  </si>
  <si>
    <t>Brazos (Reposabrazos)</t>
  </si>
  <si>
    <t>Respaldo</t>
  </si>
  <si>
    <t>&lt;42 cm</t>
  </si>
  <si>
    <t>≥38 cm</t>
  </si>
  <si>
    <t>&lt;38 cm</t>
  </si>
  <si>
    <t>Pintado (no antiestático)</t>
  </si>
  <si>
    <t xml:space="preserve"> ≥42</t>
  </si>
  <si>
    <t xml:space="preserve"> ≥42 cm</t>
  </si>
  <si>
    <t>Brazos (altura max. sobre asiento)</t>
  </si>
  <si>
    <t>Regulación de inclinación del asiento</t>
  </si>
  <si>
    <t>Humo: Escaso</t>
  </si>
  <si>
    <t>Humo: Abundante</t>
  </si>
  <si>
    <t>Espuma: Gran pérdida de masa.</t>
  </si>
  <si>
    <t>Atril de escritura</t>
  </si>
  <si>
    <t>Puntuación Sobre 2</t>
  </si>
  <si>
    <t>Oferta Económica     (I.V.A. excluido)</t>
  </si>
  <si>
    <t>SUMINISTRO  E INSTALACIÓN DE DIVERSO EQUIPAMIENTO PARA EL EDIFICIO DE GOBIERNO</t>
  </si>
  <si>
    <t>LOTE 1: BUTACAS SALON DE ACTOS</t>
  </si>
  <si>
    <t>Valoración por Años de Garantías: Lotes</t>
  </si>
  <si>
    <t>LOTE 2: SILLERÍA</t>
  </si>
  <si>
    <t>LOTE 3: MOBILIARIO DE DESPACHOS</t>
  </si>
  <si>
    <t>LOTE 4: MOBILIARIO GENERAL</t>
  </si>
  <si>
    <t>LOTE 5: MULTIMEDIA SALA REUNIONES Y SALA ESPERA</t>
  </si>
  <si>
    <t>LOTE 6: CORTINAJE</t>
  </si>
  <si>
    <t>A0004</t>
  </si>
  <si>
    <t>BUTACA DE SALÓN DE ACTOS</t>
  </si>
  <si>
    <t>SILLA ERGONÓMICA DE RESPALDO ALTO CON REPOSABRAZOS</t>
  </si>
  <si>
    <t>G0205</t>
  </si>
  <si>
    <t>SILLA DE PALA APILABLE CON BRAZO ABATIBLE</t>
  </si>
  <si>
    <t>G0401</t>
  </si>
  <si>
    <t>G0402</t>
  </si>
  <si>
    <t>CONFIDENTE CON RUEDAS</t>
  </si>
  <si>
    <t>EMPRESAS</t>
  </si>
  <si>
    <t>MESA DE DESPACHO (200x80 cm)</t>
  </si>
  <si>
    <t>MESA DE DESPACHO (180x80 cm)</t>
  </si>
  <si>
    <t>A0114</t>
  </si>
  <si>
    <t>MESA DE DESPACHO (140x80 cm)</t>
  </si>
  <si>
    <t>C0101</t>
  </si>
  <si>
    <t>MESA DE REUNIONES</t>
  </si>
  <si>
    <t>C0103</t>
  </si>
  <si>
    <t>MESA DE REUNIONES GRANDE</t>
  </si>
  <si>
    <t>C0201</t>
  </si>
  <si>
    <t>MESA REDONDA DE REUNIONES</t>
  </si>
  <si>
    <t>E0304</t>
  </si>
  <si>
    <t>ARMARIO CASILLERO (25 HUECOS)</t>
  </si>
  <si>
    <t>P0201</t>
  </si>
  <si>
    <t>ARMARIO ALTO  VITRINA  PUERTAS BAJAS</t>
  </si>
  <si>
    <t>P0203</t>
  </si>
  <si>
    <t>ARMARIO MEDIANO  VITRINA  PUERTAS BAJAS 160X90X40</t>
  </si>
  <si>
    <t>P0210</t>
  </si>
  <si>
    <t>ARMARIO BAJO CON PUERTAS</t>
  </si>
  <si>
    <t>P0211</t>
  </si>
  <si>
    <t>ARMARIO BAJO CON GAVETAS</t>
  </si>
  <si>
    <r>
      <t xml:space="preserve">CAJONERA RODANTE CON TRES CAJONES </t>
    </r>
    <r>
      <rPr>
        <sz val="10"/>
        <rFont val="Arial"/>
        <family val="2"/>
      </rPr>
      <t xml:space="preserve"> </t>
    </r>
  </si>
  <si>
    <r>
      <t xml:space="preserve">MESA AUXILIAR (90x50 cm) </t>
    </r>
    <r>
      <rPr>
        <sz val="10"/>
        <rFont val="Arial"/>
        <family val="2"/>
      </rPr>
      <t xml:space="preserve"> </t>
    </r>
  </si>
  <si>
    <r>
      <t xml:space="preserve">ARMARIO ALTO CON PUERTAS BAJAS </t>
    </r>
    <r>
      <rPr>
        <sz val="10"/>
        <rFont val="Arial"/>
        <family val="2"/>
      </rPr>
      <t xml:space="preserve"> </t>
    </r>
  </si>
  <si>
    <t>EXPEDIENTE Nº 495/11</t>
  </si>
  <si>
    <t>BUTACAS DE SALON DE ACTOS</t>
  </si>
  <si>
    <t>Espuma &lt;50 kg/m3 / No se indica</t>
  </si>
  <si>
    <r>
      <t xml:space="preserve">Espuma </t>
    </r>
    <r>
      <rPr>
        <sz val="10"/>
        <rFont val="Arial"/>
        <family val="2"/>
      </rPr>
      <t>≥</t>
    </r>
    <r>
      <rPr>
        <sz val="10"/>
        <rFont val="Arial"/>
        <family val="2"/>
      </rPr>
      <t xml:space="preserve">60 kg/m3 </t>
    </r>
  </si>
  <si>
    <t>Espuma &lt;60 kg/m3 / No se indica</t>
  </si>
  <si>
    <r>
      <t xml:space="preserve">Espuma </t>
    </r>
    <r>
      <rPr>
        <sz val="10"/>
        <rFont val="Arial"/>
        <family val="2"/>
      </rPr>
      <t>≥65</t>
    </r>
    <r>
      <rPr>
        <sz val="10"/>
        <rFont val="Arial"/>
        <family val="2"/>
      </rPr>
      <t xml:space="preserve"> kg/m3 </t>
    </r>
  </si>
  <si>
    <t>Estructura</t>
  </si>
  <si>
    <t>Asiento (material)</t>
  </si>
  <si>
    <t>Sistema Elevación</t>
  </si>
  <si>
    <t>Nº Ciclos ≥ 100,000</t>
  </si>
  <si>
    <t>Nº Ciclos ≥ 200,000</t>
  </si>
  <si>
    <t>Nº Ciclos &lt; 100,000 - Incumplimiento Pliego</t>
  </si>
  <si>
    <t>ASCENDER, S.L.</t>
  </si>
  <si>
    <t>EL CORTE INGLÉS</t>
  </si>
  <si>
    <t>EURO SEATING INTERNATIONAL, S.A.</t>
  </si>
  <si>
    <t>EZCARAY</t>
  </si>
  <si>
    <t>FIGUERAS INTERNATIONAL SEATING</t>
  </si>
  <si>
    <t>MELCO</t>
  </si>
  <si>
    <t>MOGAR</t>
  </si>
  <si>
    <t>ALECOP S. COOP.</t>
  </si>
  <si>
    <t>ANDALUZA DE PAPELERIA (OFIPAPEL)</t>
  </si>
  <si>
    <t>COMERCIAL DE INDUSTRIAS REUNIDAS</t>
  </si>
  <si>
    <t>EDUARDO BALLESTEROS S.L</t>
  </si>
  <si>
    <t>ESQUITINO</t>
  </si>
  <si>
    <t>GRUPO KAT</t>
  </si>
  <si>
    <t>LAUSAN</t>
  </si>
  <si>
    <t>MOFISER S.L</t>
  </si>
  <si>
    <t>MUEBLES TINAS</t>
  </si>
  <si>
    <t>OFINET</t>
  </si>
  <si>
    <t>OFITA INTERIORES (JOCAFRI)</t>
  </si>
  <si>
    <t>PAPELERÍA COLÓN</t>
  </si>
  <si>
    <t>RUIZ COLLADO</t>
  </si>
  <si>
    <t>SERVITEC</t>
  </si>
  <si>
    <t>ELPRO</t>
  </si>
  <si>
    <t>IEC</t>
  </si>
  <si>
    <t>UTE BGL ALMERIMATIK</t>
  </si>
  <si>
    <t>VITELSA</t>
  </si>
  <si>
    <t>CECILIO MÁRQUEZ</t>
  </si>
  <si>
    <t>LABELLA S.L</t>
  </si>
  <si>
    <t>TEXTIL HOGAR</t>
  </si>
  <si>
    <t>Respaldo (material)</t>
  </si>
  <si>
    <t xml:space="preserve">CONFIDENTE </t>
  </si>
  <si>
    <t>Comodidad</t>
  </si>
  <si>
    <t>Muy cómodo</t>
  </si>
  <si>
    <t>Cómodo</t>
  </si>
  <si>
    <t>Incómodo</t>
  </si>
  <si>
    <t>BALIPE SUMINISTROS E INSTALACIONES</t>
  </si>
  <si>
    <t>G0203</t>
  </si>
  <si>
    <t>SILLA ERGONÓMICA CON REPOSABRAZOS</t>
  </si>
  <si>
    <t>No tiene (Incumplimiento de contrato)</t>
  </si>
  <si>
    <t xml:space="preserve"> MESA DE DESPACHO (200 x 80 cm.)  </t>
  </si>
  <si>
    <t xml:space="preserve"> MESA DE DESPACHO (180 x 80 cm)  </t>
  </si>
  <si>
    <t xml:space="preserve"> MESA DE DESPACHO (140 x 80 cm)  </t>
  </si>
  <si>
    <t xml:space="preserve"> MESA AUXILIAR</t>
  </si>
  <si>
    <t xml:space="preserve"> ARMARIO MEDIANO VITRINA PUERTAS BAJAS  </t>
  </si>
  <si>
    <t xml:space="preserve"> ARMARIO BAJO CON PUERTAS</t>
  </si>
  <si>
    <t xml:space="preserve"> ARMARIO BAJO CON GAVETAS</t>
  </si>
  <si>
    <t>Y0039</t>
  </si>
  <si>
    <t>Y0040</t>
  </si>
  <si>
    <t>Gramaje Gr/m2: 340</t>
  </si>
  <si>
    <t>Soldadura en el tejido necesaria</t>
  </si>
  <si>
    <t xml:space="preserve">Resistencia a la tracción: </t>
  </si>
  <si>
    <t>Urdimbre entre 180 y 300 kg/5 cm</t>
  </si>
  <si>
    <t>Resistencia al fuego:</t>
  </si>
  <si>
    <t>UNE 23.727- NF P 92-503: Ignífugo M-1</t>
  </si>
  <si>
    <t>entre 180 y 300 kg/5 cm</t>
  </si>
  <si>
    <t>&gt; 300 kg/5 cm</t>
  </si>
  <si>
    <t>igual a 340  Gr/m2</t>
  </si>
  <si>
    <t>&gt; 340  Gr/m2</t>
  </si>
  <si>
    <t>CORTINAJE EDIFICIO DE GOBIERNO</t>
  </si>
  <si>
    <t>CORTINAJE ESCENARIO PARANINFO</t>
  </si>
  <si>
    <t>&lt; 340  Gr/m2 (Incumplimiento Pliego) / No indica</t>
  </si>
  <si>
    <t>&lt; 180 kg/5 cm (Incumplimiento Pliego) No indica</t>
  </si>
  <si>
    <t>ScreenFlex-FV 3513</t>
  </si>
  <si>
    <t>Screen Deco 380</t>
  </si>
  <si>
    <t>M1 y C1</t>
  </si>
  <si>
    <t>M1 ó C1</t>
  </si>
  <si>
    <t>FABRICANTE / MODELO</t>
  </si>
  <si>
    <t>Tiempo de entrega de repuestos</t>
  </si>
  <si>
    <t>Tiempo de respuesta en caso de avería</t>
  </si>
  <si>
    <r>
      <t>3. Mostrar fórmulas</t>
    </r>
    <r>
      <rPr>
        <sz val="6.25"/>
        <color rgb="FF666666"/>
        <rFont val="Segoe UI"/>
        <family val="2"/>
      </rPr>
      <t>.</t>
    </r>
  </si>
  <si>
    <t>A</t>
  </si>
  <si>
    <t>Fórmula</t>
  </si>
  <si>
    <t>Descripción (resultado)</t>
  </si>
  <si>
    <t>=SI(A2&gt;89,"A",SI(A2&gt;79;"B";SI(A2&gt;69;"C";SI(A2&gt;59;"D";"F"))))</t>
  </si>
  <si>
    <t>Asigna una puntuación de una letra al primer resultado (F)</t>
  </si>
  <si>
    <t>Asigna una puntuación de una letra al segundo resultado (A)</t>
  </si>
  <si>
    <t>Asigna una puntuación de una letra al tercer resultado (C)</t>
  </si>
  <si>
    <t>Las letras de puntuación se asignan a números utilizando la siguiente clave.</t>
  </si>
  <si>
    <t>Si la puntuación es</t>
  </si>
  <si>
    <t>La función devuelve</t>
  </si>
  <si>
    <t>Mayor que 89</t>
  </si>
  <si>
    <t>De 80 a 89</t>
  </si>
  <si>
    <t>B</t>
  </si>
  <si>
    <t>De 70 a 79</t>
  </si>
  <si>
    <t>C</t>
  </si>
  <si>
    <t>De 60 a 69</t>
  </si>
  <si>
    <t>D</t>
  </si>
  <si>
    <t>Menor que 60</t>
  </si>
  <si>
    <t>F</t>
  </si>
  <si>
    <t xml:space="preserve">En el ejemplo anterior, la segunda instrucción SI representa también el argumento valor_si_falso de la primera instrucción SI. </t>
  </si>
  <si>
    <t xml:space="preserve">De manera similar, la tercera instrucción SI es el argumento valor_si_falso de la segunda instrucción SI. se devuelve el valor "A". </t>
  </si>
  <si>
    <t>Si el primer argumento prueba_lógica es FALSO, se evalúa la segunda instrucción SI y así sucesivamente.</t>
  </si>
  <si>
    <t>Por ejemplo, si el primer argumento prueba_lógica (Promedio&gt;89) es VERDADERO, se devuelve el valor "A".</t>
  </si>
  <si>
    <t>ANEXO I</t>
  </si>
  <si>
    <t>EMPRESA</t>
  </si>
  <si>
    <t>LOTE 1</t>
  </si>
  <si>
    <t>LOTE 2</t>
  </si>
  <si>
    <t>LOTE 3</t>
  </si>
  <si>
    <t>LOTE 4</t>
  </si>
  <si>
    <t>LOTE 5</t>
  </si>
  <si>
    <t>LOTE 6</t>
  </si>
  <si>
    <t>X</t>
  </si>
  <si>
    <t>ASCENDER S.L</t>
  </si>
  <si>
    <t>BALIPE SUMINISSTROS E INSTALACIONES</t>
  </si>
  <si>
    <t>EURO SEATING INTERNATIONAL S.A</t>
  </si>
  <si>
    <t>Precio de Licitación: (Iva Excluido)</t>
  </si>
  <si>
    <t>Muestras Expediente 495.11. Equipamiento del Edificio de Gobierno</t>
  </si>
  <si>
    <t>-</t>
  </si>
  <si>
    <t>Si / No se indica</t>
  </si>
  <si>
    <t>POS.</t>
  </si>
  <si>
    <t>SITUACIÓN</t>
  </si>
  <si>
    <t>ART.</t>
  </si>
  <si>
    <t>EJE</t>
  </si>
  <si>
    <t>CANTIDAD</t>
  </si>
  <si>
    <t>ANCHO</t>
  </si>
  <si>
    <t>ALTO</t>
  </si>
  <si>
    <t>PLANTA 1ª</t>
  </si>
  <si>
    <t>ENR.</t>
  </si>
  <si>
    <t>1-060</t>
  </si>
  <si>
    <t>V-16 GUIADA</t>
  </si>
  <si>
    <t>1-110</t>
  </si>
  <si>
    <t>1-090</t>
  </si>
  <si>
    <t>1-080</t>
  </si>
  <si>
    <t>1-070</t>
  </si>
  <si>
    <t>1-120</t>
  </si>
  <si>
    <t>1-130</t>
  </si>
  <si>
    <t>1-140</t>
  </si>
  <si>
    <t>1-150</t>
  </si>
  <si>
    <t>1-010</t>
  </si>
  <si>
    <t>1-100</t>
  </si>
  <si>
    <t>1-160</t>
  </si>
  <si>
    <t>1-170</t>
  </si>
  <si>
    <t>1-180</t>
  </si>
  <si>
    <t>1-240</t>
  </si>
  <si>
    <t>1-250</t>
  </si>
  <si>
    <t>1-260</t>
  </si>
  <si>
    <t>1-270</t>
  </si>
  <si>
    <t>1-280</t>
  </si>
  <si>
    <t>2-090</t>
  </si>
  <si>
    <t>2-100</t>
  </si>
  <si>
    <t>2-110</t>
  </si>
  <si>
    <t>2-120</t>
  </si>
  <si>
    <t>2-130</t>
  </si>
  <si>
    <t>2-140</t>
  </si>
  <si>
    <t>2-150</t>
  </si>
  <si>
    <t>2-210</t>
  </si>
  <si>
    <t>2-220</t>
  </si>
  <si>
    <t>2-230</t>
  </si>
  <si>
    <t>2-240</t>
  </si>
  <si>
    <t>2-250</t>
  </si>
  <si>
    <t>2-260</t>
  </si>
  <si>
    <t>2-060</t>
  </si>
  <si>
    <t>2-070</t>
  </si>
  <si>
    <t>2-080</t>
  </si>
  <si>
    <t>2-270</t>
  </si>
  <si>
    <t>2-280</t>
  </si>
  <si>
    <t>2-290</t>
  </si>
  <si>
    <t>2-300</t>
  </si>
  <si>
    <t>2-310</t>
  </si>
  <si>
    <t>2-320</t>
  </si>
  <si>
    <t>2-330</t>
  </si>
  <si>
    <t>2-340</t>
  </si>
  <si>
    <t>2-350</t>
  </si>
  <si>
    <t>SALON NOBLE</t>
  </si>
  <si>
    <t>3-170</t>
  </si>
  <si>
    <t>3-160</t>
  </si>
  <si>
    <t>3-150</t>
  </si>
  <si>
    <t>3-140</t>
  </si>
  <si>
    <t>3-090</t>
  </si>
  <si>
    <t>3-100</t>
  </si>
  <si>
    <t>3-180</t>
  </si>
  <si>
    <t>3-190</t>
  </si>
  <si>
    <t>3-060</t>
  </si>
  <si>
    <t>3-070</t>
  </si>
  <si>
    <t>3-080</t>
  </si>
  <si>
    <t>3-205</t>
  </si>
  <si>
    <t>3-201</t>
  </si>
  <si>
    <t>3-200</t>
  </si>
  <si>
    <t>SALA REUNIONES</t>
  </si>
  <si>
    <t>PERSIANAS LABELLA</t>
  </si>
  <si>
    <t>M2</t>
  </si>
  <si>
    <r>
      <t>M</t>
    </r>
    <r>
      <rPr>
        <b/>
        <vertAlign val="superscript"/>
        <sz val="10"/>
        <rFont val="Arial"/>
        <family val="2"/>
      </rPr>
      <t>2</t>
    </r>
  </si>
  <si>
    <t>CORTINAS</t>
  </si>
  <si>
    <t>ESCENARIO</t>
  </si>
  <si>
    <t>PARANINFO</t>
  </si>
  <si>
    <t>BANDALUX</t>
  </si>
  <si>
    <t>CORTINAS C.RIEL</t>
  </si>
  <si>
    <t>FRUNDUOFA.IGNIS</t>
  </si>
  <si>
    <t>MOTORIZADAS</t>
  </si>
  <si>
    <t>460X410</t>
  </si>
  <si>
    <t>TEJ.CONF.OPAC</t>
  </si>
  <si>
    <t>MANUALES</t>
  </si>
  <si>
    <t>260X225</t>
  </si>
  <si>
    <t>"</t>
  </si>
  <si>
    <t>300X225</t>
  </si>
  <si>
    <t>260X280</t>
  </si>
  <si>
    <t>300X280</t>
  </si>
  <si>
    <t>Planta</t>
  </si>
  <si>
    <t>Anchura (cm)</t>
  </si>
  <si>
    <t>Altura (cm)</t>
  </si>
  <si>
    <t>Baja</t>
  </si>
  <si>
    <t>Primera</t>
  </si>
  <si>
    <t>Segunda</t>
  </si>
  <si>
    <t>Tercera</t>
  </si>
  <si>
    <t>Cecilio Marquez</t>
  </si>
  <si>
    <t>JF</t>
  </si>
  <si>
    <r>
      <t>Enrollables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</si>
  <si>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Venecianas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</si>
  <si>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Total Metros Cuadrados</t>
  </si>
  <si>
    <t>Cortina Cristalera: Tejido ( Foscurizado)</t>
  </si>
  <si>
    <t>No / No se indica</t>
  </si>
  <si>
    <t>Cortina Cristalera: Tejido ( Satén)</t>
  </si>
  <si>
    <t>Cortina Cristalera: Tejido ( Motorizada)</t>
  </si>
  <si>
    <t>Cortina Cristalera: Tejido (Ancho)</t>
  </si>
  <si>
    <t>Cortina Cristalera: Tejido (Alto)</t>
  </si>
  <si>
    <t>460 cm o más</t>
  </si>
  <si>
    <t>Menos de 460 cm</t>
  </si>
  <si>
    <t>Cortina Escenario: Tejido (Ancho)</t>
  </si>
  <si>
    <t>Cortina Escenario: Tejido (Alto)</t>
  </si>
  <si>
    <t>800 cm o más</t>
  </si>
  <si>
    <t>300 cm o más</t>
  </si>
  <si>
    <t>Menos de 300 cm</t>
  </si>
  <si>
    <t>igual a o superior a 4</t>
  </si>
  <si>
    <t>Solidez a la luz. Xenotest-UNE 40.187-73: 4</t>
  </si>
  <si>
    <t>inferior a 4</t>
  </si>
  <si>
    <t>Gramaje Gr/m2: 250</t>
  </si>
  <si>
    <t>igual a o superior a 250</t>
  </si>
  <si>
    <t>inferior a 250</t>
  </si>
  <si>
    <t>Resistencia a la abrasión: ≥ a 20.000 ciclos</t>
  </si>
  <si>
    <t>igual a o superior a 20.000</t>
  </si>
  <si>
    <t>inferior a 20.000</t>
  </si>
  <si>
    <t>Resistencia al pilling (Urdimbre/Trama): ≥ a 4</t>
  </si>
  <si>
    <t>Espuma ≥50 kg/m3 &lt;60 kg/m3</t>
  </si>
  <si>
    <t xml:space="preserve"> ARMARIO CASILLERO (25 HUECOS)</t>
  </si>
  <si>
    <t xml:space="preserve"> MESA DE REUNIONES </t>
  </si>
  <si>
    <t xml:space="preserve"> MESA DE REUNIONES GRANDE</t>
  </si>
  <si>
    <t xml:space="preserve"> MESA REDONDA DE REUNIONES </t>
  </si>
  <si>
    <t>Chapa de madera</t>
  </si>
  <si>
    <t xml:space="preserve"> MESA DELEGADOS</t>
  </si>
  <si>
    <t>Barnices</t>
  </si>
  <si>
    <t>Poliuretano al agua / Barniz UVA</t>
  </si>
  <si>
    <t>Madera maciza</t>
  </si>
  <si>
    <t>Menos de 20 mm de grosor (Incumplimiento Pliego)</t>
  </si>
  <si>
    <t>Otros (Incumplimiento Pliego)</t>
  </si>
  <si>
    <t>Excéntrica  de 35 mm</t>
  </si>
  <si>
    <t>Excéntrica  de 15 mm</t>
  </si>
  <si>
    <t>MOBILIARIO AUXILIAR . MUEBLE CON FRIGORIFICO</t>
  </si>
  <si>
    <t>TARIMA</t>
  </si>
  <si>
    <t>MESA DE 140x70 CM CON RUEDAS ELECTRIFICADA</t>
  </si>
  <si>
    <t>PERCHERO DE PIE</t>
  </si>
  <si>
    <t>Chapa de acero inoxidable</t>
  </si>
  <si>
    <t>Chapa de acero galvanizado</t>
  </si>
  <si>
    <t>ABS / PVC</t>
  </si>
  <si>
    <t>MOBILIARIO DE LECTURA DE PRENSA</t>
  </si>
  <si>
    <t>BUTACAS</t>
  </si>
  <si>
    <t>Estructura (Material)</t>
  </si>
  <si>
    <t>Estructura (grosor)</t>
  </si>
  <si>
    <t>MESA AUXILIAR</t>
  </si>
  <si>
    <t>Estructura (Grosor)</t>
  </si>
  <si>
    <t>Menos de 6 mm de grosor</t>
  </si>
  <si>
    <t>Más de 6 mm de grosor</t>
  </si>
  <si>
    <t>Costados(tableros)</t>
  </si>
  <si>
    <t>Puerta (tableros)</t>
  </si>
  <si>
    <t>Tablero de 10 mm o más</t>
  </si>
  <si>
    <t>TAQUILLAS VESTUARIO</t>
  </si>
  <si>
    <t>BANCOS DE VESTUARIO CON PERCHA</t>
  </si>
  <si>
    <t>BANCADAS DE ESPERA</t>
  </si>
  <si>
    <t>Metálica soldada</t>
  </si>
  <si>
    <t>Número de recipientes almacenamiento</t>
  </si>
  <si>
    <t>Tres recipientes</t>
  </si>
  <si>
    <t>Dos recipientes</t>
  </si>
  <si>
    <t>Un recipiente</t>
  </si>
  <si>
    <t>ESTANTERIA METÁLICA GALVANIZADA</t>
  </si>
  <si>
    <t>Pupitre</t>
  </si>
  <si>
    <t>Respaldo (altura)</t>
  </si>
  <si>
    <t>≥70 cm</t>
  </si>
  <si>
    <t>Electrificación</t>
  </si>
  <si>
    <t>Mas de 60 cm hasta 70 cm</t>
  </si>
  <si>
    <t>Menos de 60 cm</t>
  </si>
  <si>
    <t>Espuma ≥60 kg/m3 &lt;65 kg/m3</t>
  </si>
  <si>
    <t>Ignifugación: Humo</t>
  </si>
  <si>
    <t>Ignifugación: Llama</t>
  </si>
  <si>
    <t>Ignifugación: Masa</t>
  </si>
  <si>
    <t>Ignifugación: Combustión</t>
  </si>
  <si>
    <t>n</t>
  </si>
  <si>
    <t>Respaldo (Grosor espuma)</t>
  </si>
  <si>
    <t>Grosor ≥5 cm &lt;7 cm</t>
  </si>
  <si>
    <t>Grosor &lt;5 cm3 / No se indica</t>
  </si>
  <si>
    <t>Asiento (Grosor espuma)</t>
  </si>
  <si>
    <r>
      <t xml:space="preserve">Grosor </t>
    </r>
    <r>
      <rPr>
        <sz val="10"/>
        <rFont val="Arial"/>
        <family val="2"/>
      </rPr>
      <t>≥10 c</t>
    </r>
    <r>
      <rPr>
        <sz val="10"/>
        <rFont val="Arial"/>
        <family val="2"/>
      </rPr>
      <t xml:space="preserve">m </t>
    </r>
  </si>
  <si>
    <t>Grosor ≥5 cm &lt;10 cm</t>
  </si>
  <si>
    <r>
      <t xml:space="preserve">Grosor </t>
    </r>
    <r>
      <rPr>
        <sz val="10"/>
        <rFont val="Arial"/>
        <family val="2"/>
      </rPr>
      <t>≥ 10 c</t>
    </r>
    <r>
      <rPr>
        <sz val="10"/>
        <rFont val="Arial"/>
        <family val="2"/>
      </rPr>
      <t xml:space="preserve">m </t>
    </r>
  </si>
  <si>
    <t>Repuestos (butacas enteras)</t>
  </si>
  <si>
    <t>Total Butacas Ofertadas</t>
  </si>
  <si>
    <t>Butacas Mejora</t>
  </si>
  <si>
    <t>Unidades ofertadas</t>
  </si>
  <si>
    <t>Igual o inferior a 814</t>
  </si>
  <si>
    <t>Número butacas Paraninfo</t>
  </si>
  <si>
    <t>Número butacas S. Grados</t>
  </si>
  <si>
    <t>≥45 cm</t>
  </si>
  <si>
    <t>≥40 cm &lt;45 cm</t>
  </si>
  <si>
    <t>&lt;40cm</t>
  </si>
  <si>
    <t>(En pliego exigidas: 814 unidades)</t>
  </si>
  <si>
    <t>Unidades</t>
  </si>
  <si>
    <r>
      <rPr>
        <sz val="10"/>
        <color indexed="8"/>
        <rFont val="Arial"/>
        <family val="2"/>
      </rPr>
      <t xml:space="preserve">A0111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</si>
  <si>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A0112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</si>
  <si>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A0116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</si>
  <si>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A0117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</si>
  <si>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A0118 </t>
    </r>
    <r>
      <rPr>
        <sz val="10"/>
        <rFont val="Arial"/>
        <family val="2"/>
      </rPr>
      <t xml:space="preserve"> </t>
    </r>
  </si>
  <si>
    <t>A0124</t>
  </si>
  <si>
    <t>A0201</t>
  </si>
  <si>
    <t>A0202</t>
  </si>
  <si>
    <t>C0100</t>
  </si>
  <si>
    <t>D0101</t>
  </si>
  <si>
    <t>D0103</t>
  </si>
  <si>
    <t>E0301</t>
  </si>
  <si>
    <t>E0302</t>
  </si>
  <si>
    <t>E0701</t>
  </si>
  <si>
    <t>E1201</t>
  </si>
  <si>
    <t>E1202</t>
  </si>
  <si>
    <t>E1301</t>
  </si>
  <si>
    <t>P0902</t>
  </si>
  <si>
    <t>MESA DE 140X70 CM CON RUEDAS ELECTRIFICADA</t>
  </si>
  <si>
    <t>BANCO DE VESTUARIO CON PERCHA</t>
  </si>
  <si>
    <t>ESTANTERÍA METÁLICA GALVANIZADA</t>
  </si>
  <si>
    <t>TABLÓN DE ANUNCIOS DE CORCHO CON CRISTAL</t>
  </si>
  <si>
    <t>TABLON DE CORCHO CON PATAS</t>
  </si>
  <si>
    <t>PERCHEROS DE PARED</t>
  </si>
  <si>
    <t>PIZARRA BLANCA DE ACERO CERÁMICA DE 200X120</t>
  </si>
  <si>
    <t>Más de 20 mm y menos de 25 mm de grosor</t>
  </si>
  <si>
    <t>De 25 mm de grosor o más</t>
  </si>
  <si>
    <t>Se pueden abrir dos o más cajones a la vez</t>
  </si>
  <si>
    <t>Sólo se puede abrir sólo un cajón a la vez</t>
  </si>
  <si>
    <t>Tuerca embutida  y atornillada oculta</t>
  </si>
  <si>
    <t>Valor de las butacas de más ofertadas</t>
  </si>
  <si>
    <t>Valor en puntos de las butacas de más ofertadas</t>
  </si>
  <si>
    <t>Regulacion 3 patas</t>
  </si>
  <si>
    <t>Techo y base (tableros)</t>
  </si>
  <si>
    <t>Costados (tableros)</t>
  </si>
  <si>
    <t>Estantes (tableros)</t>
  </si>
  <si>
    <t>Tejido: No arde</t>
  </si>
  <si>
    <t>Tejido: Arde y se autoextingue en menos de 15 seg.</t>
  </si>
  <si>
    <t>Tejido: Arde y se autoextingue en menos de 30 seg.</t>
  </si>
  <si>
    <t>Tejido: Arde y no se autoextingue en menos de 30 seg.</t>
  </si>
  <si>
    <t>Más de 814 y menos de 820</t>
  </si>
  <si>
    <t>Más de 820 y menos de 830</t>
  </si>
  <si>
    <t>Igual o más de 830</t>
  </si>
  <si>
    <t>PUNTOS</t>
  </si>
  <si>
    <r>
      <t>&lt; 10</t>
    </r>
    <r>
      <rPr>
        <sz val="10"/>
        <rFont val="Arial"/>
        <family val="2"/>
      </rPr>
      <t xml:space="preserve"> cm </t>
    </r>
  </si>
  <si>
    <t>≥ 10 cm</t>
  </si>
  <si>
    <t>≥ 20cm</t>
  </si>
  <si>
    <t>≥ 20 cm</t>
  </si>
  <si>
    <t>≥ 46</t>
  </si>
  <si>
    <t>Brazos (Anchura libre máxima)</t>
  </si>
  <si>
    <t>Asiento (altura máxima y mínima)</t>
  </si>
  <si>
    <t xml:space="preserve">         </t>
  </si>
  <si>
    <t>≥ 40 cm</t>
  </si>
  <si>
    <t>Puntuación PropuestaTécnica</t>
  </si>
  <si>
    <t>Puntuación Propuesta Técnica</t>
  </si>
  <si>
    <t>Plazo de entrega e instalación del producto (Nº de días):</t>
  </si>
  <si>
    <t>Tiempo de entrega de repuestos :</t>
  </si>
  <si>
    <t>(Nº de días)</t>
  </si>
  <si>
    <t>Puntos</t>
  </si>
  <si>
    <t>Tiempo de respuesta en caso de avería :</t>
  </si>
  <si>
    <t>(Horas laborales)</t>
  </si>
  <si>
    <t>Número menor de dias/horas ofertados</t>
  </si>
  <si>
    <t>Número mayor de dias/horas ofertados</t>
  </si>
  <si>
    <t>Plazo de entrega e instalación del producto</t>
  </si>
  <si>
    <t>Aumento de unidades</t>
  </si>
  <si>
    <t>De una a cinco unidades</t>
  </si>
  <si>
    <t>Ninguna unidad</t>
  </si>
  <si>
    <t>de seis a 10 unidades</t>
  </si>
  <si>
    <t>Más de 10 unidades</t>
  </si>
  <si>
    <t>Puntuación Total Lote</t>
  </si>
  <si>
    <t>Tiempo de respuesta en caso de avería (horas)</t>
  </si>
  <si>
    <t>Plazo de entrega e instalación del producto (días)</t>
  </si>
  <si>
    <t>Tiempo de entrega de repuestos (horas)</t>
  </si>
  <si>
    <t>PLAZOS DE ENTREGA E INSTALACIÓN</t>
  </si>
  <si>
    <t>PUNTUACIÓN TÉCNICA</t>
  </si>
  <si>
    <t>S</t>
  </si>
  <si>
    <t xml:space="preserve">                                                     </t>
  </si>
  <si>
    <t>≥ 55 cm</t>
  </si>
  <si>
    <t>≥ 46 cm</t>
  </si>
  <si>
    <t>&lt; 46 cm</t>
  </si>
  <si>
    <t xml:space="preserve"> ≥0 &lt;2 cm</t>
  </si>
  <si>
    <t xml:space="preserve"> ≥2 &lt;3 cm</t>
  </si>
  <si>
    <r>
      <t xml:space="preserve"> &gt;50 </t>
    </r>
    <r>
      <rPr>
        <sz val="10"/>
        <rFont val="Calibri"/>
        <family val="2"/>
      </rPr>
      <t>≤</t>
    </r>
    <r>
      <rPr>
        <sz val="10"/>
        <rFont val="Arial"/>
        <family val="2"/>
      </rPr>
      <t>100 micras</t>
    </r>
  </si>
  <si>
    <r>
      <t xml:space="preserve"> ≥0 </t>
    </r>
    <r>
      <rPr>
        <sz val="10"/>
        <rFont val="Calibri"/>
        <family val="2"/>
      </rPr>
      <t>≤ 50</t>
    </r>
    <r>
      <rPr>
        <sz val="10"/>
        <rFont val="Arial"/>
        <family val="2"/>
      </rPr>
      <t xml:space="preserve"> micras</t>
    </r>
  </si>
  <si>
    <r>
      <t xml:space="preserve">Perfil de acero de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60 mm e &lt; a 80 mm</t>
    </r>
  </si>
  <si>
    <t>Perfil de acero inox. de &gt; 80 mm</t>
  </si>
  <si>
    <r>
      <t xml:space="preserve">Perfil de acero de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40 mm e &lt; a 60 mm</t>
    </r>
  </si>
  <si>
    <t>Acero inoxidable / Aluminio pulido</t>
  </si>
  <si>
    <t xml:space="preserve"> &gt;50 micras</t>
  </si>
  <si>
    <r>
      <t xml:space="preserve">&gt; 20 mm y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25 mm de grosor</t>
    </r>
  </si>
  <si>
    <r>
      <rPr>
        <sz val="10"/>
        <rFont val="Calibri"/>
        <family val="2"/>
      </rPr>
      <t xml:space="preserve">&gt; </t>
    </r>
    <r>
      <rPr>
        <sz val="10"/>
        <rFont val="Arial"/>
        <family val="2"/>
      </rPr>
      <t>25 mm de grosor</t>
    </r>
  </si>
  <si>
    <r>
      <rPr>
        <sz val="10"/>
        <rFont val="Calibri"/>
        <family val="2"/>
      </rPr>
      <t xml:space="preserve">≥ </t>
    </r>
    <r>
      <rPr>
        <sz val="10"/>
        <rFont val="Arial"/>
        <family val="2"/>
      </rPr>
      <t>25 mm de grosor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</si>
  <si>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20 mm y &lt; de 25 mm de grosor</t>
    </r>
  </si>
  <si>
    <t>Perfil de acero de &gt; 80 mm</t>
  </si>
  <si>
    <r>
      <t xml:space="preserve">Perfil de acero de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40 mm</t>
    </r>
  </si>
  <si>
    <r>
      <t xml:space="preserve">Perfil de acero de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 mm</t>
    </r>
  </si>
  <si>
    <r>
      <t xml:space="preserve">De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25 mm de grosor</t>
    </r>
  </si>
  <si>
    <r>
      <t xml:space="preserve">De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 mm de grosor</t>
    </r>
  </si>
  <si>
    <t>De &lt; 20 mm de grosor</t>
  </si>
  <si>
    <t xml:space="preserve"> </t>
  </si>
  <si>
    <t>Altura de la papelera</t>
  </si>
  <si>
    <t>Anchura de la papelera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</si>
  <si>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 mm de grosor</t>
    </r>
  </si>
  <si>
    <t>&gt; 0,1 mm de grosor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</si>
  <si>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0,5 mm de grosor</t>
    </r>
  </si>
  <si>
    <t>Más de 30 cm</t>
  </si>
  <si>
    <t>Más de 25 cm</t>
  </si>
  <si>
    <t>Menos de 25 cm</t>
  </si>
  <si>
    <t>Más de 20 cm</t>
  </si>
  <si>
    <t>Más de 18 cm</t>
  </si>
  <si>
    <t>Menos de 18 cm</t>
  </si>
  <si>
    <t>Seis o menos</t>
  </si>
  <si>
    <t>Menos de 50 micras</t>
  </si>
  <si>
    <t>Diez o más</t>
  </si>
  <si>
    <t>Más de seis</t>
  </si>
  <si>
    <t>Cableado libre de halógenos</t>
  </si>
  <si>
    <t>Sección del cableado 2,5 mm o superior</t>
  </si>
  <si>
    <t>Mesas electrificadas con menos de 4 enchufes shuko</t>
  </si>
  <si>
    <t>Tapa</t>
  </si>
  <si>
    <t xml:space="preserve">Madera / Vidrio Laminado </t>
  </si>
  <si>
    <t>Vidrio Normal</t>
  </si>
  <si>
    <t>Medidas: anchura</t>
  </si>
  <si>
    <t>Medidas: altura</t>
  </si>
  <si>
    <t>Medidas: Profundidad</t>
  </si>
  <si>
    <t>Llave de bisagra (plegado de cabeza)</t>
  </si>
  <si>
    <t>Trasera(tableros)</t>
  </si>
  <si>
    <t>≥ 30 cm</t>
  </si>
  <si>
    <t>&lt; 30 cm</t>
  </si>
  <si>
    <t>≥ 180 cm</t>
  </si>
  <si>
    <t>&lt; 180 cm</t>
  </si>
  <si>
    <t>≥ 50 cm</t>
  </si>
  <si>
    <t>&lt; 50 cm</t>
  </si>
  <si>
    <t>En acero inoxidable</t>
  </si>
  <si>
    <t>Acero normal</t>
  </si>
  <si>
    <t>Material  de resinas fenólicas</t>
  </si>
  <si>
    <t>entre 50 y 80 micras</t>
  </si>
  <si>
    <t>Mas de 80 micras</t>
  </si>
  <si>
    <t>Menos de 10 mm</t>
  </si>
  <si>
    <t>entre 10 y 15 mm</t>
  </si>
  <si>
    <t>Listones de asientos (Grosor)</t>
  </si>
  <si>
    <t>Listones de asientos (material)</t>
  </si>
  <si>
    <t>entre 15 y 20 mm</t>
  </si>
  <si>
    <t>Mas de 20 mm</t>
  </si>
  <si>
    <t>Acero Inoxidable</t>
  </si>
  <si>
    <t>Asientos (material)</t>
  </si>
  <si>
    <t>Asientos (grosor)</t>
  </si>
  <si>
    <t>Chapa acero pulida</t>
  </si>
  <si>
    <t>Carga soportada por los estantes</t>
  </si>
  <si>
    <t>Menos de 200 kg</t>
  </si>
  <si>
    <t>Más de 250 kg</t>
  </si>
  <si>
    <t>Menos de 2000 kg</t>
  </si>
  <si>
    <t>Entre 2000 y 2500 kg</t>
  </si>
  <si>
    <t>Mas de 2500 kg</t>
  </si>
  <si>
    <t>Estantes regulables en altura</t>
  </si>
  <si>
    <t>Refuerzos interiores en el estante</t>
  </si>
  <si>
    <t>Número de estantes</t>
  </si>
  <si>
    <t>Cinco o más</t>
  </si>
  <si>
    <t>Menos de 5</t>
  </si>
  <si>
    <t>Bordes de los estantes plegados interiormente</t>
  </si>
  <si>
    <t>Carga soportada por el bastidor</t>
  </si>
  <si>
    <t>Marco</t>
  </si>
  <si>
    <r>
      <t xml:space="preserve">Aluminio anodizado de de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60 mm e &lt; a 80 mm</t>
    </r>
  </si>
  <si>
    <r>
      <t xml:space="preserve">Aluminio anodizado de de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40 mm e &lt; a 60 mm</t>
    </r>
  </si>
  <si>
    <t>Entre 1 y 1,5 mm de grosor</t>
  </si>
  <si>
    <t>Más de 1,5 mm de grosor</t>
  </si>
  <si>
    <t>Menos de 1 mm de grosor</t>
  </si>
  <si>
    <r>
      <t xml:space="preserve">Aluminio anodizado de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80 mm</t>
    </r>
  </si>
  <si>
    <t>Grosor del marco</t>
  </si>
  <si>
    <t>Vidrio laminado de 3+3</t>
  </si>
  <si>
    <t>Escuadras (tamaño)</t>
  </si>
  <si>
    <t>Escuadras (Grosor)</t>
  </si>
  <si>
    <t>Menos de 2,5 mm de grosor</t>
  </si>
  <si>
    <t>Entre 2,5 y 4,5 mm de grosor</t>
  </si>
  <si>
    <t>Más de 4,5 mm de grosor</t>
  </si>
  <si>
    <t>Carcasa y guías con soporte multipelo antiruidos</t>
  </si>
  <si>
    <t>4 ruedas con freno</t>
  </si>
  <si>
    <t>2 ruedas con freno</t>
  </si>
  <si>
    <t>Perfil de aluminio anodizado / acero inoxidable</t>
  </si>
  <si>
    <t>Aluminio anodizado / acero inoxidable</t>
  </si>
  <si>
    <t>Chapa de acero inoxidable / Aluminio anodizado</t>
  </si>
  <si>
    <t>Acero inoxidable / Aluminio anodizado</t>
  </si>
  <si>
    <t>Acero pintado</t>
  </si>
  <si>
    <t>Número de colgadores</t>
  </si>
  <si>
    <t>Chapa de acero / aluminio pintado</t>
  </si>
  <si>
    <t>PVC / ABS</t>
  </si>
  <si>
    <t>ai</t>
  </si>
  <si>
    <t>Bandeja reposatizas (Medidas)</t>
  </si>
  <si>
    <t>Compensación parte trasera</t>
  </si>
  <si>
    <t>Incluye tres borradores</t>
  </si>
  <si>
    <t>No / No lo menciona</t>
  </si>
  <si>
    <t>Menos de 0,5 mm de grosor</t>
  </si>
  <si>
    <t>Entre 0,5 y 2,5 mm de grosor</t>
  </si>
  <si>
    <t>Más de 2,5 mm de grosor</t>
  </si>
  <si>
    <t>Fdo. Francisco Javier Arrebola Liébanas</t>
  </si>
  <si>
    <t>Fdo. Pedro Martínez Ruano</t>
  </si>
  <si>
    <t>Fdo. Emilia Quereda Escoriza</t>
  </si>
  <si>
    <t>Fdo. Antonio Dominador Aguila Soto</t>
  </si>
  <si>
    <t>Igual o superior a 200 cm</t>
  </si>
  <si>
    <t>Igual o superior a 100 cm</t>
  </si>
  <si>
    <t>Inferior a 100 cm</t>
  </si>
  <si>
    <t>No tiene / No indica</t>
  </si>
  <si>
    <t>Chapa de acero galvanizado / inoxidable</t>
  </si>
  <si>
    <t>Chapa de acero pintado con epoxi</t>
  </si>
  <si>
    <t>Material de la superficie de escritura</t>
  </si>
  <si>
    <t>Chapa de  estratificado</t>
  </si>
  <si>
    <t>Chapa de melamina</t>
  </si>
  <si>
    <t>Chapa de acero vitrificado</t>
  </si>
  <si>
    <t>Acero pintado con Epoxi</t>
  </si>
  <si>
    <t>Acero Cromado</t>
  </si>
  <si>
    <t>Sin ruedas / No indica que tengan freno</t>
  </si>
  <si>
    <t>Chapa acero inoxidable / galvanizada</t>
  </si>
  <si>
    <t>Menos de 50 micras / No lo indica</t>
  </si>
  <si>
    <t>≥1,5 &lt;3 cm</t>
  </si>
  <si>
    <t>≥0 &lt;1,5 cm</t>
  </si>
  <si>
    <t>Bisagras</t>
  </si>
  <si>
    <t>Vidrio de seguridad de más de 5 mm</t>
  </si>
  <si>
    <t>Vidrio de seguridad de menos de 5 mm</t>
  </si>
  <si>
    <t xml:space="preserve">Superiores a 100x100 mm </t>
  </si>
  <si>
    <t>Polipropileno, ABS, Poliuretano</t>
  </si>
  <si>
    <t>Menos de1,5 mm de grosor</t>
  </si>
  <si>
    <t>4 ruedas sin freno</t>
  </si>
  <si>
    <t>Sólo pueden colocarse verticalmente/horizontalmente</t>
  </si>
  <si>
    <t>Chapa de acero / aluminio pintado / Fenólico</t>
  </si>
  <si>
    <t>Y0023</t>
  </si>
  <si>
    <t>SALA JUNTAS EQ. GOBIERNO: SISTEMA DE CONTROL REMOTO</t>
  </si>
  <si>
    <t>Y0019</t>
  </si>
  <si>
    <t>ALA JUNTAS EQ. GOBIERNO: SISTEMA DE GRABACIÓN /REPRODUCCIÓN</t>
  </si>
  <si>
    <t>Y0036</t>
  </si>
  <si>
    <t>SALA DE REUNIONES: EQUIPAMIENTO MULTIMEDIA</t>
  </si>
  <si>
    <t xml:space="preserve">Y0020 </t>
  </si>
  <si>
    <t>SALA JUNTAS EQ. GOBIERNO: CAMARAS DE VIDEO PARA SEGUIMIENTO</t>
  </si>
  <si>
    <t>Y0018</t>
  </si>
  <si>
    <t>SALA JUNTAS EQ. GOBIERNO: SISTEMA DE VIDEO</t>
  </si>
  <si>
    <t>Y0022</t>
  </si>
  <si>
    <t>SALA JUNTAS EQ. GOBIERNO: SISTEMA DE AUDIO</t>
  </si>
  <si>
    <t>Y0024</t>
  </si>
  <si>
    <t>SALA JUNTAS EQ. GOBIERNO: SISTEMA DE MONITORADO Y CAJAS DE CONEXIONES</t>
  </si>
  <si>
    <t>Y0021</t>
  </si>
  <si>
    <t>SALA JUNTAS EQ. GOBIERNO: SISTEMA DE DEBATE Y VOTACIÓN</t>
  </si>
  <si>
    <t>Y0026</t>
  </si>
  <si>
    <t>SALA JUNTAS EQ. GOBIERNO: MOBILIARIO</t>
  </si>
  <si>
    <t>Total Puntuación Mobiliario</t>
  </si>
  <si>
    <t>Hueco técnico para instalaciones</t>
  </si>
  <si>
    <t>Regulación en altura</t>
  </si>
  <si>
    <t>Costados</t>
  </si>
  <si>
    <t>Puertas</t>
  </si>
  <si>
    <t>MUEBLE</t>
  </si>
  <si>
    <t>FRIGORIFICO</t>
  </si>
  <si>
    <t>Capacidad (litros)</t>
  </si>
  <si>
    <t>Nivel Sonoro (dB)</t>
  </si>
  <si>
    <t>Consumo energía (Kwh/año)</t>
  </si>
  <si>
    <t>Eficiencia energética</t>
  </si>
  <si>
    <t>Número de bandejas / rejillas</t>
  </si>
  <si>
    <t>Tres o más</t>
  </si>
  <si>
    <t>Dos</t>
  </si>
  <si>
    <t>Una</t>
  </si>
  <si>
    <t>A+ / A++</t>
  </si>
  <si>
    <t>B, C, D, E</t>
  </si>
  <si>
    <t>Inferior a 45 dB</t>
  </si>
  <si>
    <t>Superior a 45 dB</t>
  </si>
  <si>
    <t>Superior a 55 dB</t>
  </si>
  <si>
    <t>Melamina</t>
  </si>
  <si>
    <t>Tableros (recubrimientos)</t>
  </si>
  <si>
    <t>Tapas y costados (recubrimientos)</t>
  </si>
  <si>
    <t>Inferior a 175</t>
  </si>
  <si>
    <t>Superior a 175</t>
  </si>
  <si>
    <t>Superior a 200</t>
  </si>
  <si>
    <t>Patas con taco y nivelador</t>
  </si>
  <si>
    <t>Tablero base (grosor)</t>
  </si>
  <si>
    <t>Perfil de acero de &gt; 50 mm</t>
  </si>
  <si>
    <t>Barras de arriostramiento</t>
  </si>
  <si>
    <t>Armazón (Grosor de la chapa)</t>
  </si>
  <si>
    <t>Entre 1,5 y 2,5 mm de grosor</t>
  </si>
  <si>
    <t>Menos de 1,5 mm de grosor</t>
  </si>
  <si>
    <t>Menos de 16 mm de grosor</t>
  </si>
  <si>
    <t>Parquet  Laminado</t>
  </si>
  <si>
    <t>AC5</t>
  </si>
  <si>
    <t>AC3</t>
  </si>
  <si>
    <t>AC4</t>
  </si>
  <si>
    <t>9 o más</t>
  </si>
  <si>
    <r>
      <t>Numero de puntos de apoyo del armazón x m</t>
    </r>
    <r>
      <rPr>
        <vertAlign val="superscript"/>
        <sz val="10"/>
        <rFont val="Arial"/>
        <family val="2"/>
      </rPr>
      <t>2</t>
    </r>
  </si>
  <si>
    <t>Altura total de la tarima</t>
  </si>
  <si>
    <t>Igual o superior a 20 cm</t>
  </si>
  <si>
    <t>Igual o superior a 15 cm</t>
  </si>
  <si>
    <t>Inferior a 15 cm</t>
  </si>
  <si>
    <t>Pasacables</t>
  </si>
  <si>
    <t>Metálico pintado</t>
  </si>
  <si>
    <t>Las patas de apoyo no apoyarán en cajas eléctricas instaladas</t>
  </si>
  <si>
    <t>Cuatro rampas de acceso</t>
  </si>
  <si>
    <t>Dos rampas de acceso</t>
  </si>
  <si>
    <t>No indica</t>
  </si>
  <si>
    <t>Entre 19 y 24 mm de grosor</t>
  </si>
  <si>
    <t>Menos de 19 mm de grosor</t>
  </si>
  <si>
    <t xml:space="preserve">Perfil de madera de 19 mm </t>
  </si>
  <si>
    <r>
      <t xml:space="preserve">Perfil de acero de </t>
    </r>
    <r>
      <rPr>
        <sz val="10"/>
        <rFont val="Arial"/>
        <family val="2"/>
      </rPr>
      <t>40 x 20 mm</t>
    </r>
  </si>
  <si>
    <t>Metálico pintado / Plástico</t>
  </si>
  <si>
    <t>Tres rampas de acceso</t>
  </si>
  <si>
    <t>Rechapado</t>
  </si>
  <si>
    <t>Barandillas en rampas</t>
  </si>
  <si>
    <t>Mas de 250 lt</t>
  </si>
  <si>
    <t>Entre 100 lt y 250 lt</t>
  </si>
  <si>
    <t>Menos de 100 lt / No indica</t>
  </si>
  <si>
    <t>BLG-ALMERIMATIK</t>
  </si>
  <si>
    <t>1. SISTEMA DE DEBATE Y VOTACIÓN</t>
  </si>
  <si>
    <t>Carácter.</t>
  </si>
  <si>
    <t>UNIDAD DE CONTROL</t>
  </si>
  <si>
    <t>Número de puestos que puede controlar</t>
  </si>
  <si>
    <t>59 puestos</t>
  </si>
  <si>
    <t>100</t>
  </si>
  <si>
    <t>245</t>
  </si>
  <si>
    <t>59-100 puestos</t>
  </si>
  <si>
    <t>&gt;  100 puestos</t>
  </si>
  <si>
    <t>Conexiones del E/S de audio analógico</t>
  </si>
  <si>
    <t xml:space="preserve">Si </t>
  </si>
  <si>
    <t>SI</t>
  </si>
  <si>
    <t>Verasatilidad - Adaptabilidad</t>
  </si>
  <si>
    <t>Canales de interpretación simultanea</t>
  </si>
  <si>
    <t>32</t>
  </si>
  <si>
    <t>UNIDADES DE DEBATE</t>
  </si>
  <si>
    <t>Sistema identificación en todos los puestos</t>
  </si>
  <si>
    <t>Se puede utilizar como unidad del presidente</t>
  </si>
  <si>
    <t>NO</t>
  </si>
  <si>
    <t>Botones de votación configurables</t>
  </si>
  <si>
    <t>Indicador de led (turno/espera/presencia)</t>
  </si>
  <si>
    <t xml:space="preserve">Longitud del micro </t>
  </si>
  <si>
    <t>40 cm</t>
  </si>
  <si>
    <t>40</t>
  </si>
  <si>
    <t>&gt; 40 cm</t>
  </si>
  <si>
    <t>48</t>
  </si>
  <si>
    <t>Tipo micro</t>
  </si>
  <si>
    <t>Unidireccional</t>
  </si>
  <si>
    <t>Unidir</t>
  </si>
  <si>
    <t>Cardioide</t>
  </si>
  <si>
    <t>Salida de auriculares</t>
  </si>
  <si>
    <t>Compatibilidas sistemas existente en la UAL</t>
  </si>
  <si>
    <t>2. SISTEMA DE VIDEO</t>
  </si>
  <si>
    <t>CÁMARAS</t>
  </si>
  <si>
    <t>HD</t>
  </si>
  <si>
    <t>Panel de control: memorias de posición</t>
  </si>
  <si>
    <t>Conectividad</t>
  </si>
  <si>
    <t>R232</t>
  </si>
  <si>
    <t>LAN</t>
  </si>
  <si>
    <t>PROCESADOR DE VIDEO</t>
  </si>
  <si>
    <t>Procesado de señal</t>
  </si>
  <si>
    <t>Matriz de conmutación</t>
  </si>
  <si>
    <t>Matriz</t>
  </si>
  <si>
    <t>Selectores</t>
  </si>
  <si>
    <t>Sistema de Gestión de señal</t>
  </si>
  <si>
    <t>HDMI</t>
  </si>
  <si>
    <t>VGA</t>
  </si>
  <si>
    <t>3. SISTEMA DE MONITORES Y CAJA DE CONEXIONES</t>
  </si>
  <si>
    <t>Regulable en inclinación</t>
  </si>
  <si>
    <t>si</t>
  </si>
  <si>
    <t>Sin regulación</t>
  </si>
  <si>
    <t>Pulgadas</t>
  </si>
  <si>
    <t>&gt;=18</t>
  </si>
  <si>
    <t>19</t>
  </si>
  <si>
    <t>&lt;18</t>
  </si>
  <si>
    <t>17"</t>
  </si>
  <si>
    <t>18,5"</t>
  </si>
  <si>
    <t>Tecnología</t>
  </si>
  <si>
    <t>LED</t>
  </si>
  <si>
    <t>LCD</t>
  </si>
  <si>
    <t xml:space="preserve">Conexión </t>
  </si>
  <si>
    <t>RJ45</t>
  </si>
  <si>
    <t>MINI-JACK</t>
  </si>
  <si>
    <t>XLR (Prensa)</t>
  </si>
  <si>
    <t xml:space="preserve">No </t>
  </si>
  <si>
    <t>Facilidad de actualización- Versatilidad</t>
  </si>
  <si>
    <t>No especifica</t>
  </si>
  <si>
    <t>4. SISTEMA DE SONIDO</t>
  </si>
  <si>
    <t>Altavoces del sistema de debate</t>
  </si>
  <si>
    <t>Sistema de sonido en sala</t>
  </si>
  <si>
    <t xml:space="preserve">2 </t>
  </si>
  <si>
    <t>12</t>
  </si>
  <si>
    <t xml:space="preserve">   - Amplificador --&gt; &lt;=250 W</t>
  </si>
  <si>
    <t>250w</t>
  </si>
  <si>
    <t xml:space="preserve">                 --&gt; &gt;250 W</t>
  </si>
  <si>
    <t>350w</t>
  </si>
  <si>
    <t>5. SISTEMA DE CONTROL</t>
  </si>
  <si>
    <t>Dispositivo tactil inalambrico</t>
  </si>
  <si>
    <t>Adaptación imagen coorporativa</t>
  </si>
  <si>
    <t>Software compatible con otros S.O</t>
  </si>
  <si>
    <t>Control de audio</t>
  </si>
  <si>
    <t>Control de cámara y seguimiento.</t>
  </si>
  <si>
    <t>Configuración personalizada del puesto</t>
  </si>
  <si>
    <t>Sistema de visualización:monitores, selección entradas</t>
  </si>
  <si>
    <t>Definición de perfiles de usuario</t>
  </si>
  <si>
    <t>6. SISTEMA DE GRABACIÓN Y REPRODUCCIÓN</t>
  </si>
  <si>
    <t>Sistema de catalogación</t>
  </si>
  <si>
    <t>Grabación de varias entradas simultaneas</t>
  </si>
  <si>
    <t>Tamaño Almacenamiento</t>
  </si>
  <si>
    <t>&gt; 1 TB</t>
  </si>
  <si>
    <t>2TB</t>
  </si>
  <si>
    <t>&lt; 1 TB</t>
  </si>
  <si>
    <t>500GB</t>
  </si>
  <si>
    <t>160GB</t>
  </si>
  <si>
    <t>Grabación Full HD</t>
  </si>
  <si>
    <t>7. SALAS DE REUNIONES</t>
  </si>
  <si>
    <t>Tipo televisión</t>
  </si>
  <si>
    <t>LEC</t>
  </si>
  <si>
    <t>&gt;46</t>
  </si>
  <si>
    <t>47"</t>
  </si>
  <si>
    <t>46</t>
  </si>
  <si>
    <t>Control Remoto en la caja de conexiones</t>
  </si>
  <si>
    <t>Sensor de Presencia en TV</t>
  </si>
  <si>
    <t>LAN Inalámbrica</t>
  </si>
  <si>
    <t>TV-Conexiones Especificadas en pliego</t>
  </si>
  <si>
    <t>Caja de conexiones pared</t>
  </si>
  <si>
    <t>Amplificafor</t>
  </si>
  <si>
    <t>no</t>
  </si>
  <si>
    <t xml:space="preserve">Altavoces </t>
  </si>
  <si>
    <t>Potencia</t>
  </si>
  <si>
    <t>&lt;=20W</t>
  </si>
  <si>
    <t>15</t>
  </si>
  <si>
    <t>20</t>
  </si>
  <si>
    <t xml:space="preserve">40W y 60W </t>
  </si>
  <si>
    <t>&gt;60</t>
  </si>
  <si>
    <t>70W</t>
  </si>
  <si>
    <t xml:space="preserve">         Encastrable</t>
  </si>
  <si>
    <t>8. FORMACIÓN</t>
  </si>
  <si>
    <t>Duración en horas</t>
  </si>
  <si>
    <t>&lt;=20 horas</t>
  </si>
  <si>
    <t>17</t>
  </si>
  <si>
    <t>16</t>
  </si>
  <si>
    <t>&gt;  20 horas</t>
  </si>
  <si>
    <t>24</t>
  </si>
  <si>
    <t>Formación Técnica</t>
  </si>
  <si>
    <t>Formación Usuario</t>
  </si>
  <si>
    <t>Programación</t>
  </si>
  <si>
    <t>Guía rápida personalizada</t>
  </si>
  <si>
    <t>9. PLAZO DE RESPUESTA</t>
  </si>
  <si>
    <t>Mantenimiento conductivo</t>
  </si>
  <si>
    <t>Respuesta ante incidentes</t>
  </si>
  <si>
    <t>&lt;5 horas</t>
  </si>
  <si>
    <t>2 horas</t>
  </si>
  <si>
    <t>&gt;= 5 horas</t>
  </si>
  <si>
    <t>5 horas</t>
  </si>
  <si>
    <t>TOTAL SOBRE 30 PUNTOS</t>
  </si>
  <si>
    <t xml:space="preserve">Las mejoras se evaluaron hasta un máximo de 30 puntes y tendrán un peso del 10% en la valoración total. </t>
  </si>
  <si>
    <t>El baremo es el siguiente: Se valora cada mejora según documentación de las empresas</t>
  </si>
  <si>
    <t>BGL &amp; ALMERIMATIC</t>
  </si>
  <si>
    <t>MEJORAS</t>
  </si>
  <si>
    <t>Descripción de la mejora</t>
  </si>
  <si>
    <t>Valor estimado</t>
  </si>
  <si>
    <t xml:space="preserve">Botonera de control remoto en las salas </t>
  </si>
  <si>
    <t xml:space="preserve">Sistema de Prensa </t>
  </si>
  <si>
    <t xml:space="preserve">        Splitter 1x10</t>
  </si>
  <si>
    <t xml:space="preserve">        Splitter 2x6</t>
  </si>
  <si>
    <t xml:space="preserve">        Caja conexiones mesa salida XLR</t>
  </si>
  <si>
    <t xml:space="preserve">        Micro inalámbrico </t>
  </si>
  <si>
    <t>Grabadora 7 unidades</t>
  </si>
  <si>
    <t>1 sistema de debate y votación de repuesto</t>
  </si>
  <si>
    <t xml:space="preserve">Tarjetas de identificación y Sistema de Programación </t>
  </si>
  <si>
    <t>1 IPAD más de repuesto</t>
  </si>
  <si>
    <t>Sistema SW de reserva de Sala</t>
  </si>
  <si>
    <t>8 monitores escamoteables + 8 caja de conexiones</t>
  </si>
  <si>
    <t>Puesto para técnico en sala</t>
  </si>
  <si>
    <t xml:space="preserve">Valor total de las mejoras </t>
  </si>
  <si>
    <t>Peso</t>
  </si>
  <si>
    <t>Puntos totales</t>
  </si>
  <si>
    <t>Tubo interior</t>
  </si>
  <si>
    <t>Plástico</t>
  </si>
  <si>
    <t>Cordón de accionamiento</t>
  </si>
  <si>
    <t>Escuadras de fijación</t>
  </si>
  <si>
    <t>M</t>
  </si>
  <si>
    <t>E-Screen 7510</t>
  </si>
  <si>
    <t>Barra contrapeso</t>
  </si>
  <si>
    <t>P</t>
  </si>
  <si>
    <t>Entre 1.000 y 1.100</t>
  </si>
  <si>
    <t>Más de 1.100</t>
  </si>
  <si>
    <t>Inferior a 1.000</t>
  </si>
  <si>
    <t>Motor (Sistema de accionamiento)</t>
  </si>
  <si>
    <t>Mando a distancia</t>
  </si>
  <si>
    <t>Pulsador</t>
  </si>
  <si>
    <t>Motor (Peso a mover)</t>
  </si>
  <si>
    <t>Más de 50 Kg</t>
  </si>
  <si>
    <t>Entre 35 y 50 Kg</t>
  </si>
  <si>
    <t>Menos de 35 Kg / No indica</t>
  </si>
  <si>
    <t xml:space="preserve">   - Altavoces en sala --&gt; SI</t>
  </si>
  <si>
    <t xml:space="preserve">                          --&gt; No</t>
  </si>
  <si>
    <r>
      <t>Perfil de acero de &gt; 3</t>
    </r>
    <r>
      <rPr>
        <sz val="10"/>
        <rFont val="Arial"/>
        <family val="2"/>
      </rPr>
      <t>0 mm</t>
    </r>
  </si>
  <si>
    <t>Ponderación sobre 15 puntos de la puntuación del mobiliario</t>
  </si>
  <si>
    <t>Ponderación sobre 30 puntos de la puntuación del material audiovisual</t>
  </si>
  <si>
    <t>TOTAL PUNTUACIÓN MOBILIARIO + MATERIAL AUDIOVISUAL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</si>
  <si>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19 mm de grosor</t>
    </r>
  </si>
  <si>
    <r>
      <rPr>
        <sz val="10"/>
        <rFont val="Calibri"/>
        <family val="2"/>
      </rPr>
      <t>&lt;</t>
    </r>
    <r>
      <rPr>
        <sz val="10"/>
        <rFont val="Arial"/>
        <family val="2"/>
      </rPr>
      <t xml:space="preserve"> 19 mm de grosor</t>
    </r>
  </si>
  <si>
    <t>Rampas</t>
  </si>
  <si>
    <t>Regulación en altura y sistema antivuelco</t>
  </si>
  <si>
    <t xml:space="preserve">                                                                                                                                                                           </t>
  </si>
  <si>
    <t xml:space="preserve">        s</t>
  </si>
  <si>
    <t>Incluye persianas de lamas y Sala Grados CTL</t>
  </si>
  <si>
    <t>Incluye persianas de lamas o Sala Grados CTL</t>
  </si>
  <si>
    <t>igual o superior a 1000 cms</t>
  </si>
  <si>
    <t>Inferior a 1000 cms</t>
  </si>
  <si>
    <t>ScreenFlex-FV 3510</t>
  </si>
  <si>
    <t>Decortina             Gradual</t>
  </si>
  <si>
    <t>Menos de 800 cm</t>
  </si>
  <si>
    <t>Más de 16 mm de grosor</t>
  </si>
  <si>
    <t>Menos de nueve</t>
  </si>
  <si>
    <r>
      <t xml:space="preserve">Perfil de acero de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30 mm</t>
    </r>
  </si>
  <si>
    <t>Sin toma RJ45</t>
  </si>
  <si>
    <t>Toma Internet</t>
  </si>
  <si>
    <t>Cableado (características)</t>
  </si>
  <si>
    <t>Cableado (sección)</t>
  </si>
  <si>
    <t>Electrificación (número de enchufes)</t>
  </si>
  <si>
    <t>Normal /No indica</t>
  </si>
  <si>
    <t>Mesas electrificadas con 5 o más enchufes shuko</t>
  </si>
  <si>
    <t>Mesas electrificadas con 4 enchufes shuko</t>
  </si>
  <si>
    <t>Sección del cableado inferior a 2,5 mm / No indica</t>
  </si>
  <si>
    <t>Más de 80 micras</t>
  </si>
  <si>
    <t>&lt; 0,5 mm de grosor / No lo indica</t>
  </si>
  <si>
    <r>
      <t xml:space="preserve">≥ </t>
    </r>
    <r>
      <rPr>
        <sz val="10"/>
        <rFont val="Arial"/>
        <family val="2"/>
      </rPr>
      <t>3</t>
    </r>
    <r>
      <rPr>
        <sz val="10"/>
        <rFont val="Calibri"/>
        <family val="2"/>
      </rPr>
      <t xml:space="preserve"> cm</t>
    </r>
  </si>
  <si>
    <t>≥42</t>
  </si>
  <si>
    <t>Espuma &lt;30 kg/m3 / No se indica</t>
  </si>
  <si>
    <t>Espuma ≥30 kg/m3 &lt;50 kg/m3</t>
  </si>
  <si>
    <t>&lt;42 cm / No indica</t>
  </si>
  <si>
    <t>&lt;40 cm  / No indica</t>
  </si>
  <si>
    <t>&lt;38 cm  / No indica</t>
  </si>
  <si>
    <t>Entre 200 y 250 kg</t>
  </si>
  <si>
    <t xml:space="preserve">Superiores o iguales a 40x40 mm </t>
  </si>
  <si>
    <t xml:space="preserve">Inferiores a 40x40 mm </t>
  </si>
  <si>
    <t>Entre 1,5 y 3 mm de grosor</t>
  </si>
  <si>
    <t>Más de 3 mm de grosor</t>
  </si>
  <si>
    <t>Entre 5 y 9 mm de grosor</t>
  </si>
  <si>
    <t>Más de 9 mm de grosor</t>
  </si>
  <si>
    <t>Perfil de acero</t>
  </si>
  <si>
    <t>Perfil de madera</t>
  </si>
  <si>
    <t>Más de siete</t>
  </si>
  <si>
    <t>Seis</t>
  </si>
  <si>
    <t>Menos de seis</t>
  </si>
  <si>
    <t>Igual o superior a 50 micras</t>
  </si>
  <si>
    <r>
      <t xml:space="preserve">Espuma ≥35 kg/m3 </t>
    </r>
    <r>
      <rPr>
        <sz val="10"/>
        <rFont val="Calibri"/>
        <family val="2"/>
      </rPr>
      <t>≤</t>
    </r>
    <r>
      <rPr>
        <sz val="10"/>
        <rFont val="Arial"/>
        <family val="2"/>
      </rPr>
      <t>50 kg/m3</t>
    </r>
  </si>
  <si>
    <r>
      <t xml:space="preserve">Espuma </t>
    </r>
    <r>
      <rPr>
        <sz val="10"/>
        <rFont val="Arial"/>
        <family val="2"/>
      </rPr>
      <t>&gt;</t>
    </r>
    <r>
      <rPr>
        <sz val="10"/>
        <rFont val="Arial"/>
        <family val="2"/>
      </rPr>
      <t xml:space="preserve">50 kg/m3 </t>
    </r>
  </si>
  <si>
    <t>Almería, 9 de mayo de 2012</t>
  </si>
  <si>
    <t>Armario Gavetas (sistema antivuelco)</t>
  </si>
  <si>
    <t>PUNTUACIÓN MÁXIMA DEL ITEM</t>
  </si>
  <si>
    <t>OFERTA MÁS BAJA</t>
  </si>
  <si>
    <t>Puntuación Publicada (erronea)</t>
  </si>
  <si>
    <t>Puntuación correcta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</si>
</sst>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0\ _€_-;\-* #,##0.000\ _€_-;_-* &quot;-&quot;??\ _€_-;_-@_-"/>
    <numFmt numFmtId="166" formatCode="0.000"/>
    <numFmt numFmtId="167" formatCode="_-* #,##0\ _€_-;\-* #,##0\ _€_-;_-* &quot;-&quot;??\ _€_-;_-@_-"/>
    <numFmt numFmtId="168" formatCode="0.0"/>
    <numFmt numFmtId="169" formatCode="#,##0.00_ ;\-#,##0.00\ "/>
    <numFmt numFmtId="170" formatCode="0.0000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6.25"/>
      <color rgb="FF666666"/>
      <name val="Segoe UI"/>
      <family val="2"/>
    </font>
    <font>
      <b/>
      <sz val="6.25"/>
      <color rgb="FF666666"/>
      <name val="Segoe UI"/>
      <family val="2"/>
    </font>
    <font>
      <sz val="10"/>
      <color rgb="FF454545"/>
      <name val="Arial"/>
      <family val="2"/>
    </font>
    <font>
      <b/>
      <sz val="11.2"/>
      <color rgb="FF454545"/>
      <name val="Arial"/>
      <family val="2"/>
    </font>
    <font>
      <b/>
      <sz val="10"/>
      <color rgb="FF454545"/>
      <name val="Arial"/>
      <family val="2"/>
    </font>
    <font>
      <sz val="10"/>
      <color rgb="FF66666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A4A4A4"/>
      </top>
      <bottom style="medium">
        <color rgb="FFA4A4A4"/>
      </bottom>
      <diagonal/>
    </border>
    <border>
      <left/>
      <right/>
      <top/>
      <bottom style="medium">
        <color rgb="FFCCCCC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44" fontId="4" fillId="0" borderId="0" applyFont="0" applyFill="0" applyBorder="0" applyAlignment="0" applyProtection="0"/>
    <xf numFmtId="0" fontId="22" fillId="3" borderId="0" applyNumberFormat="0" applyBorder="0" applyAlignment="0" applyProtection="0"/>
    <xf numFmtId="43" fontId="4" fillId="0" borderId="0" applyFont="0" applyFill="0" applyBorder="0" applyAlignment="0" applyProtection="0"/>
    <xf numFmtId="0" fontId="23" fillId="22" borderId="0" applyNumberFormat="0" applyBorder="0" applyAlignment="0" applyProtection="0"/>
    <xf numFmtId="0" fontId="4" fillId="23" borderId="4" applyNumberFormat="0" applyFon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</cellStyleXfs>
  <cellXfs count="1184">
    <xf numFmtId="0" fontId="0" fillId="0" borderId="0" xfId="0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9" fillId="0" borderId="0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/>
    <xf numFmtId="8" fontId="0" fillId="0" borderId="10" xfId="0" applyNumberFormat="1" applyBorder="1"/>
    <xf numFmtId="43" fontId="0" fillId="0" borderId="10" xfId="33" applyFont="1" applyBorder="1"/>
    <xf numFmtId="8" fontId="0" fillId="0" borderId="0" xfId="0" applyNumberFormat="1"/>
    <xf numFmtId="0" fontId="0" fillId="0" borderId="0" xfId="0" applyBorder="1"/>
    <xf numFmtId="0" fontId="0" fillId="0" borderId="10" xfId="0" applyBorder="1"/>
    <xf numFmtId="43" fontId="0" fillId="0" borderId="0" xfId="0" applyNumberFormat="1"/>
    <xf numFmtId="0" fontId="8" fillId="0" borderId="0" xfId="0" applyFont="1" applyBorder="1"/>
    <xf numFmtId="0" fontId="6" fillId="0" borderId="0" xfId="0" applyFont="1" applyBorder="1" applyAlignment="1"/>
    <xf numFmtId="0" fontId="6" fillId="0" borderId="11" xfId="0" applyFont="1" applyBorder="1" applyAlignment="1"/>
    <xf numFmtId="0" fontId="6" fillId="0" borderId="10" xfId="0" applyFont="1" applyBorder="1" applyAlignment="1">
      <alignment horizontal="center" wrapText="1"/>
    </xf>
    <xf numFmtId="43" fontId="0" fillId="0" borderId="10" xfId="0" applyNumberFormat="1" applyBorder="1"/>
    <xf numFmtId="0" fontId="11" fillId="0" borderId="0" xfId="0" applyFont="1"/>
    <xf numFmtId="8" fontId="11" fillId="0" borderId="0" xfId="0" applyNumberFormat="1" applyFont="1"/>
    <xf numFmtId="0" fontId="6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25" borderId="10" xfId="0" applyFont="1" applyFill="1" applyBorder="1" applyAlignment="1">
      <alignment wrapText="1"/>
    </xf>
    <xf numFmtId="164" fontId="6" fillId="0" borderId="10" xfId="0" applyNumberFormat="1" applyFont="1" applyBorder="1"/>
    <xf numFmtId="0" fontId="6" fillId="0" borderId="0" xfId="0" applyFont="1"/>
    <xf numFmtId="2" fontId="9" fillId="26" borderId="10" xfId="0" applyNumberFormat="1" applyFont="1" applyFill="1" applyBorder="1" applyAlignment="1">
      <alignment horizontal="center" vertical="center" wrapText="1"/>
    </xf>
    <xf numFmtId="164" fontId="9" fillId="26" borderId="10" xfId="0" applyNumberFormat="1" applyFont="1" applyFill="1" applyBorder="1" applyAlignment="1">
      <alignment horizontal="center" vertical="top" wrapText="1"/>
    </xf>
    <xf numFmtId="44" fontId="0" fillId="0" borderId="10" xfId="31" applyFont="1" applyBorder="1" applyAlignment="1"/>
    <xf numFmtId="43" fontId="0" fillId="0" borderId="10" xfId="33" applyFont="1" applyBorder="1" applyAlignment="1">
      <alignment horizontal="center"/>
    </xf>
    <xf numFmtId="0" fontId="6" fillId="0" borderId="10" xfId="0" applyFont="1" applyFill="1" applyBorder="1"/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164" fontId="6" fillId="0" borderId="12" xfId="0" applyNumberFormat="1" applyFont="1" applyBorder="1"/>
    <xf numFmtId="44" fontId="0" fillId="0" borderId="10" xfId="31" applyFont="1" applyBorder="1"/>
    <xf numFmtId="44" fontId="6" fillId="0" borderId="10" xfId="31" applyFont="1" applyFill="1" applyBorder="1" applyAlignment="1">
      <alignment horizontal="center" vertical="top" wrapText="1"/>
    </xf>
    <xf numFmtId="44" fontId="6" fillId="0" borderId="0" xfId="31" applyFont="1"/>
    <xf numFmtId="0" fontId="0" fillId="0" borderId="10" xfId="0" applyNumberFormat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" fontId="5" fillId="0" borderId="10" xfId="33" applyNumberFormat="1" applyFont="1" applyBorder="1" applyAlignment="1">
      <alignment horizontal="center"/>
    </xf>
    <xf numFmtId="0" fontId="10" fillId="0" borderId="11" xfId="0" applyFont="1" applyBorder="1" applyAlignment="1"/>
    <xf numFmtId="0" fontId="12" fillId="0" borderId="0" xfId="0" applyFont="1"/>
    <xf numFmtId="0" fontId="31" fillId="0" borderId="0" xfId="0" applyFont="1" applyBorder="1"/>
    <xf numFmtId="0" fontId="32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164" fontId="10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/>
    <xf numFmtId="0" fontId="12" fillId="0" borderId="10" xfId="0" applyFont="1" applyBorder="1"/>
    <xf numFmtId="44" fontId="12" fillId="0" borderId="10" xfId="31" applyFont="1" applyBorder="1"/>
    <xf numFmtId="8" fontId="12" fillId="0" borderId="10" xfId="0" applyNumberFormat="1" applyFont="1" applyBorder="1"/>
    <xf numFmtId="43" fontId="12" fillId="0" borderId="10" xfId="33" applyFont="1" applyBorder="1"/>
    <xf numFmtId="8" fontId="12" fillId="0" borderId="0" xfId="0" applyNumberFormat="1" applyFont="1" applyBorder="1"/>
    <xf numFmtId="43" fontId="12" fillId="0" borderId="0" xfId="0" applyNumberFormat="1" applyFont="1" applyBorder="1"/>
    <xf numFmtId="0" fontId="0" fillId="27" borderId="10" xfId="0" applyFill="1" applyBorder="1"/>
    <xf numFmtId="0" fontId="0" fillId="27" borderId="10" xfId="0" applyFill="1" applyBorder="1" applyAlignment="1">
      <alignment horizontal="center"/>
    </xf>
    <xf numFmtId="0" fontId="0" fillId="24" borderId="0" xfId="0" applyFill="1"/>
    <xf numFmtId="0" fontId="0" fillId="24" borderId="12" xfId="0" applyFill="1" applyBorder="1"/>
    <xf numFmtId="0" fontId="0" fillId="0" borderId="14" xfId="0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24" borderId="15" xfId="0" applyFill="1" applyBorder="1" applyAlignment="1">
      <alignment horizontal="right"/>
    </xf>
    <xf numFmtId="0" fontId="0" fillId="26" borderId="16" xfId="0" applyFill="1" applyBorder="1"/>
    <xf numFmtId="0" fontId="0" fillId="26" borderId="10" xfId="0" applyFill="1" applyBorder="1"/>
    <xf numFmtId="0" fontId="0" fillId="26" borderId="1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6" fillId="0" borderId="1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4" fontId="6" fillId="0" borderId="0" xfId="0" applyNumberFormat="1" applyFont="1" applyBorder="1" applyAlignment="1"/>
    <xf numFmtId="44" fontId="6" fillId="0" borderId="0" xfId="31" applyFont="1" applyBorder="1"/>
    <xf numFmtId="43" fontId="4" fillId="0" borderId="10" xfId="33" applyFont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27" borderId="13" xfId="0" applyFill="1" applyBorder="1"/>
    <xf numFmtId="0" fontId="5" fillId="24" borderId="10" xfId="0" applyFont="1" applyFill="1" applyBorder="1" applyAlignment="1">
      <alignment horizontal="center"/>
    </xf>
    <xf numFmtId="0" fontId="0" fillId="24" borderId="13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wrapText="1"/>
    </xf>
    <xf numFmtId="0" fontId="0" fillId="0" borderId="13" xfId="0" applyBorder="1"/>
    <xf numFmtId="0" fontId="0" fillId="0" borderId="13" xfId="0" applyFill="1" applyBorder="1"/>
    <xf numFmtId="0" fontId="0" fillId="0" borderId="0" xfId="0" applyFill="1"/>
    <xf numFmtId="0" fontId="0" fillId="24" borderId="18" xfId="0" applyFill="1" applyBorder="1"/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0" borderId="0" xfId="0" applyFont="1"/>
    <xf numFmtId="44" fontId="12" fillId="0" borderId="0" xfId="31" applyFont="1"/>
    <xf numFmtId="44" fontId="12" fillId="0" borderId="0" xfId="0" applyNumberFormat="1" applyFont="1"/>
    <xf numFmtId="0" fontId="5" fillId="0" borderId="10" xfId="0" applyFont="1" applyBorder="1"/>
    <xf numFmtId="0" fontId="0" fillId="0" borderId="12" xfId="0" applyBorder="1"/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Alignment="1">
      <alignment horizontal="left" indent="1"/>
    </xf>
    <xf numFmtId="0" fontId="9" fillId="0" borderId="10" xfId="0" applyFont="1" applyFill="1" applyBorder="1" applyAlignment="1">
      <alignment horizontal="center"/>
    </xf>
    <xf numFmtId="0" fontId="0" fillId="24" borderId="10" xfId="0" applyFill="1" applyBorder="1"/>
    <xf numFmtId="0" fontId="0" fillId="24" borderId="10" xfId="0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7" fillId="0" borderId="0" xfId="0" applyFont="1" applyAlignment="1">
      <alignment horizontal="justify"/>
    </xf>
    <xf numFmtId="0" fontId="0" fillId="24" borderId="12" xfId="0" applyFill="1" applyBorder="1"/>
    <xf numFmtId="0" fontId="0" fillId="24" borderId="14" xfId="0" applyFill="1" applyBorder="1"/>
    <xf numFmtId="0" fontId="0" fillId="24" borderId="14" xfId="0" applyFill="1" applyBorder="1" applyAlignment="1">
      <alignment horizontal="right"/>
    </xf>
    <xf numFmtId="0" fontId="0" fillId="24" borderId="15" xfId="0" applyFill="1" applyBorder="1" applyAlignment="1">
      <alignment horizontal="left"/>
    </xf>
    <xf numFmtId="0" fontId="0" fillId="0" borderId="14" xfId="0" applyBorder="1"/>
    <xf numFmtId="0" fontId="0" fillId="0" borderId="14" xfId="0" applyFill="1" applyBorder="1"/>
    <xf numFmtId="1" fontId="5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65" fontId="0" fillId="0" borderId="10" xfId="0" applyNumberFormat="1" applyBorder="1"/>
    <xf numFmtId="165" fontId="0" fillId="0" borderId="10" xfId="0" applyNumberFormat="1" applyBorder="1" applyAlignment="1">
      <alignment horizontal="center"/>
    </xf>
    <xf numFmtId="165" fontId="0" fillId="0" borderId="10" xfId="33" applyNumberFormat="1" applyFont="1" applyBorder="1"/>
    <xf numFmtId="2" fontId="0" fillId="0" borderId="0" xfId="0" applyNumberFormat="1"/>
    <xf numFmtId="0" fontId="6" fillId="28" borderId="10" xfId="0" applyFont="1" applyFill="1" applyBorder="1"/>
    <xf numFmtId="2" fontId="6" fillId="28" borderId="10" xfId="0" applyNumberFormat="1" applyFont="1" applyFill="1" applyBorder="1"/>
    <xf numFmtId="43" fontId="0" fillId="0" borderId="0" xfId="0" applyNumberFormat="1" applyBorder="1"/>
    <xf numFmtId="44" fontId="0" fillId="0" borderId="0" xfId="0" applyNumberFormat="1"/>
    <xf numFmtId="2" fontId="9" fillId="2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166" fontId="0" fillId="0" borderId="10" xfId="0" applyNumberFormat="1" applyBorder="1" applyAlignment="1">
      <alignment horizontal="center"/>
    </xf>
    <xf numFmtId="0" fontId="0" fillId="24" borderId="15" xfId="0" applyFill="1" applyBorder="1"/>
    <xf numFmtId="0" fontId="0" fillId="24" borderId="16" xfId="0" applyFill="1" applyBorder="1"/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38" fillId="0" borderId="10" xfId="0" applyFont="1" applyBorder="1" applyAlignment="1">
      <alignment vertical="top" wrapText="1"/>
    </xf>
    <xf numFmtId="43" fontId="4" fillId="0" borderId="16" xfId="33" applyFont="1" applyBorder="1"/>
    <xf numFmtId="0" fontId="6" fillId="0" borderId="0" xfId="0" applyFont="1" applyBorder="1" applyAlignment="1">
      <alignment wrapText="1"/>
    </xf>
    <xf numFmtId="8" fontId="6" fillId="0" borderId="0" xfId="0" applyNumberFormat="1" applyFont="1" applyBorder="1" applyAlignment="1">
      <alignment horizontal="center" wrapText="1"/>
    </xf>
    <xf numFmtId="1" fontId="12" fillId="0" borderId="12" xfId="0" applyNumberFormat="1" applyFont="1" applyBorder="1"/>
    <xf numFmtId="0" fontId="10" fillId="0" borderId="14" xfId="0" applyFont="1" applyBorder="1" applyAlignment="1">
      <alignment wrapText="1"/>
    </xf>
    <xf numFmtId="0" fontId="10" fillId="0" borderId="0" xfId="0" applyFont="1" applyBorder="1" applyAlignment="1"/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8" fontId="38" fillId="0" borderId="10" xfId="0" applyNumberFormat="1" applyFont="1" applyBorder="1" applyAlignment="1">
      <alignment horizontal="right" vertical="top" wrapText="1"/>
    </xf>
    <xf numFmtId="8" fontId="9" fillId="0" borderId="10" xfId="0" applyNumberFormat="1" applyFont="1" applyBorder="1" applyAlignment="1">
      <alignment horizontal="right" vertical="top"/>
    </xf>
    <xf numFmtId="43" fontId="9" fillId="0" borderId="10" xfId="33" applyFont="1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67" fontId="9" fillId="0" borderId="10" xfId="33" applyNumberFormat="1" applyFont="1" applyFill="1" applyBorder="1" applyAlignment="1">
      <alignment vertical="top" wrapText="1"/>
    </xf>
    <xf numFmtId="167" fontId="5" fillId="0" borderId="10" xfId="33" applyNumberFormat="1" applyFont="1" applyBorder="1" applyAlignment="1"/>
    <xf numFmtId="0" fontId="9" fillId="27" borderId="10" xfId="0" applyFont="1" applyFill="1" applyBorder="1"/>
    <xf numFmtId="0" fontId="0" fillId="24" borderId="15" xfId="0" applyFill="1" applyBorder="1"/>
    <xf numFmtId="0" fontId="0" fillId="24" borderId="16" xfId="0" applyFill="1" applyBorder="1"/>
    <xf numFmtId="0" fontId="6" fillId="0" borderId="0" xfId="0" applyFont="1" applyBorder="1" applyAlignment="1">
      <alignment horizontal="left"/>
    </xf>
    <xf numFmtId="0" fontId="0" fillId="29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9" fillId="27" borderId="13" xfId="0" applyFont="1" applyFill="1" applyBorder="1"/>
    <xf numFmtId="0" fontId="9" fillId="0" borderId="10" xfId="0" applyFont="1" applyBorder="1" applyAlignment="1">
      <alignment horizontal="center"/>
    </xf>
    <xf numFmtId="0" fontId="0" fillId="27" borderId="14" xfId="0" applyFill="1" applyBorder="1" applyAlignment="1">
      <alignment horizontal="center"/>
    </xf>
    <xf numFmtId="0" fontId="0" fillId="30" borderId="14" xfId="0" applyFill="1" applyBorder="1" applyAlignment="1">
      <alignment horizontal="center" vertical="center"/>
    </xf>
    <xf numFmtId="0" fontId="0" fillId="30" borderId="15" xfId="0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9" fillId="0" borderId="13" xfId="0" applyFont="1" applyBorder="1"/>
    <xf numFmtId="0" fontId="9" fillId="0" borderId="10" xfId="0" applyFont="1" applyFill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0" fillId="24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33" applyFont="1"/>
    <xf numFmtId="0" fontId="9" fillId="24" borderId="10" xfId="0" applyFont="1" applyFill="1" applyBorder="1"/>
    <xf numFmtId="0" fontId="9" fillId="0" borderId="14" xfId="0" applyFont="1" applyBorder="1" applyAlignment="1">
      <alignment horizontal="right"/>
    </xf>
    <xf numFmtId="0" fontId="9" fillId="24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24" borderId="15" xfId="0" applyFont="1" applyFill="1" applyBorder="1" applyAlignment="1">
      <alignment horizontal="right"/>
    </xf>
    <xf numFmtId="0" fontId="9" fillId="0" borderId="10" xfId="0" applyFont="1" applyBorder="1"/>
    <xf numFmtId="0" fontId="9" fillId="30" borderId="10" xfId="0" applyFont="1" applyFill="1" applyBorder="1"/>
    <xf numFmtId="0" fontId="41" fillId="0" borderId="0" xfId="0" applyFont="1" applyAlignment="1">
      <alignment horizontal="left" indent="2"/>
    </xf>
    <xf numFmtId="0" fontId="0" fillId="0" borderId="0" xfId="0" applyAlignment="1">
      <alignment horizontal="left" indent="1"/>
    </xf>
    <xf numFmtId="0" fontId="42" fillId="32" borderId="19" xfId="0" applyFont="1" applyFill="1" applyBorder="1" applyAlignment="1">
      <alignment vertical="top" wrapText="1"/>
    </xf>
    <xf numFmtId="0" fontId="43" fillId="33" borderId="2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4" fillId="34" borderId="21" xfId="0" applyFont="1" applyFill="1" applyBorder="1" applyAlignment="1">
      <alignment vertical="top" wrapText="1"/>
    </xf>
    <xf numFmtId="0" fontId="42" fillId="34" borderId="21" xfId="0" applyFont="1" applyFill="1" applyBorder="1" applyAlignment="1">
      <alignment vertical="top" wrapText="1"/>
    </xf>
    <xf numFmtId="0" fontId="40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6" fillId="0" borderId="0" xfId="0" applyFont="1"/>
    <xf numFmtId="0" fontId="47" fillId="35" borderId="22" xfId="20" applyFont="1" applyFill="1" applyBorder="1"/>
    <xf numFmtId="0" fontId="47" fillId="35" borderId="22" xfId="20" applyFont="1" applyFill="1" applyBorder="1" applyAlignment="1">
      <alignment horizontal="center"/>
    </xf>
    <xf numFmtId="0" fontId="47" fillId="0" borderId="22" xfId="20" applyFont="1" applyFill="1" applyBorder="1" applyAlignment="1">
      <alignment horizontal="center"/>
    </xf>
    <xf numFmtId="44" fontId="47" fillId="35" borderId="22" xfId="20" applyNumberFormat="1" applyFont="1" applyFill="1" applyBorder="1" applyAlignment="1">
      <alignment horizontal="center"/>
    </xf>
    <xf numFmtId="168" fontId="9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29" borderId="18" xfId="0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44" fontId="0" fillId="0" borderId="0" xfId="44" applyFont="1"/>
    <xf numFmtId="4" fontId="0" fillId="0" borderId="0" xfId="0" applyNumberFormat="1"/>
    <xf numFmtId="0" fontId="9" fillId="0" borderId="0" xfId="0" applyFont="1" applyAlignment="1">
      <alignment wrapText="1"/>
    </xf>
    <xf numFmtId="0" fontId="9" fillId="0" borderId="15" xfId="0" applyFont="1" applyFill="1" applyBorder="1" applyAlignment="1">
      <alignment horizontal="right"/>
    </xf>
    <xf numFmtId="49" fontId="9" fillId="0" borderId="10" xfId="0" applyNumberFormat="1" applyFont="1" applyFill="1" applyBorder="1"/>
    <xf numFmtId="0" fontId="9" fillId="30" borderId="14" xfId="0" applyFont="1" applyFill="1" applyBorder="1" applyAlignment="1">
      <alignment horizontal="right"/>
    </xf>
    <xf numFmtId="0" fontId="0" fillId="30" borderId="15" xfId="0" applyFill="1" applyBorder="1"/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15" xfId="0" applyFont="1" applyFill="1" applyBorder="1"/>
    <xf numFmtId="0" fontId="9" fillId="30" borderId="0" xfId="0" applyFont="1" applyFill="1" applyAlignment="1">
      <alignment horizontal="right"/>
    </xf>
    <xf numFmtId="49" fontId="9" fillId="30" borderId="10" xfId="0" applyNumberFormat="1" applyFont="1" applyFill="1" applyBorder="1"/>
    <xf numFmtId="0" fontId="0" fillId="30" borderId="10" xfId="0" applyFill="1" applyBorder="1"/>
    <xf numFmtId="0" fontId="0" fillId="30" borderId="14" xfId="0" applyFill="1" applyBorder="1" applyAlignment="1">
      <alignment horizontal="right"/>
    </xf>
    <xf numFmtId="0" fontId="0" fillId="30" borderId="0" xfId="0" applyFill="1" applyAlignment="1">
      <alignment horizontal="right"/>
    </xf>
    <xf numFmtId="0" fontId="0" fillId="30" borderId="15" xfId="0" applyFill="1" applyBorder="1" applyAlignment="1">
      <alignment horizontal="right"/>
    </xf>
    <xf numFmtId="0" fontId="0" fillId="0" borderId="15" xfId="0" applyFill="1" applyBorder="1"/>
    <xf numFmtId="0" fontId="0" fillId="0" borderId="16" xfId="0" applyFill="1" applyBorder="1"/>
    <xf numFmtId="0" fontId="0" fillId="24" borderId="15" xfId="0" applyFill="1" applyBorder="1"/>
    <xf numFmtId="0" fontId="0" fillId="24" borderId="16" xfId="0" applyFill="1" applyBorder="1"/>
    <xf numFmtId="0" fontId="47" fillId="0" borderId="22" xfId="20" applyFont="1" applyFill="1" applyBorder="1"/>
    <xf numFmtId="0" fontId="47" fillId="37" borderId="22" xfId="20" applyFont="1" applyFill="1" applyBorder="1" applyAlignment="1">
      <alignment horizontal="center"/>
    </xf>
    <xf numFmtId="0" fontId="0" fillId="24" borderId="15" xfId="0" applyFill="1" applyBorder="1"/>
    <xf numFmtId="0" fontId="0" fillId="24" borderId="16" xfId="0" applyFill="1" applyBorder="1"/>
    <xf numFmtId="0" fontId="0" fillId="0" borderId="15" xfId="0" applyFill="1" applyBorder="1"/>
    <xf numFmtId="0" fontId="0" fillId="0" borderId="16" xfId="0" applyFill="1" applyBorder="1"/>
    <xf numFmtId="0" fontId="0" fillId="30" borderId="12" xfId="0" applyFill="1" applyBorder="1"/>
    <xf numFmtId="0" fontId="0" fillId="30" borderId="12" xfId="0" applyFill="1" applyBorder="1" applyAlignment="1">
      <alignment horizontal="center"/>
    </xf>
    <xf numFmtId="0" fontId="0" fillId="30" borderId="16" xfId="0" applyFill="1" applyBorder="1"/>
    <xf numFmtId="0" fontId="9" fillId="30" borderId="16" xfId="0" applyFont="1" applyFill="1" applyBorder="1" applyAlignment="1">
      <alignment horizontal="center" vertical="center"/>
    </xf>
    <xf numFmtId="0" fontId="0" fillId="0" borderId="16" xfId="0" applyFill="1" applyBorder="1"/>
    <xf numFmtId="0" fontId="0" fillId="24" borderId="15" xfId="0" applyFill="1" applyBorder="1"/>
    <xf numFmtId="0" fontId="0" fillId="24" borderId="16" xfId="0" applyFill="1" applyBorder="1"/>
    <xf numFmtId="0" fontId="9" fillId="0" borderId="12" xfId="0" applyFont="1" applyFill="1" applyBorder="1"/>
    <xf numFmtId="0" fontId="0" fillId="30" borderId="13" xfId="0" applyFill="1" applyBorder="1"/>
    <xf numFmtId="0" fontId="0" fillId="30" borderId="14" xfId="0" applyFill="1" applyBorder="1"/>
    <xf numFmtId="0" fontId="0" fillId="27" borderId="14" xfId="0" applyFill="1" applyBorder="1"/>
    <xf numFmtId="0" fontId="0" fillId="30" borderId="18" xfId="0" applyFill="1" applyBorder="1"/>
    <xf numFmtId="0" fontId="9" fillId="0" borderId="0" xfId="0" applyFont="1" applyFill="1" applyBorder="1"/>
    <xf numFmtId="0" fontId="0" fillId="24" borderId="14" xfId="0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30" borderId="14" xfId="0" applyFill="1" applyBorder="1" applyAlignment="1">
      <alignment horizontal="left"/>
    </xf>
    <xf numFmtId="0" fontId="0" fillId="30" borderId="15" xfId="0" applyFill="1" applyBorder="1" applyAlignment="1">
      <alignment horizontal="left"/>
    </xf>
    <xf numFmtId="0" fontId="0" fillId="30" borderId="16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24" borderId="16" xfId="0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30" borderId="15" xfId="0" applyFill="1" applyBorder="1"/>
    <xf numFmtId="0" fontId="0" fillId="30" borderId="16" xfId="0" applyFill="1" applyBorder="1"/>
    <xf numFmtId="0" fontId="0" fillId="0" borderId="15" xfId="0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left"/>
    </xf>
    <xf numFmtId="0" fontId="0" fillId="0" borderId="18" xfId="0" applyFill="1" applyBorder="1"/>
    <xf numFmtId="0" fontId="9" fillId="0" borderId="14" xfId="0" applyFont="1" applyFill="1" applyBorder="1"/>
    <xf numFmtId="0" fontId="0" fillId="0" borderId="10" xfId="0" applyFill="1" applyBorder="1" applyAlignment="1">
      <alignment vertical="center"/>
    </xf>
    <xf numFmtId="0" fontId="9" fillId="30" borderId="14" xfId="0" applyFont="1" applyFill="1" applyBorder="1"/>
    <xf numFmtId="0" fontId="9" fillId="30" borderId="12" xfId="0" applyFont="1" applyFill="1" applyBorder="1"/>
    <xf numFmtId="0" fontId="0" fillId="30" borderId="16" xfId="0" applyFill="1" applyBorder="1" applyAlignment="1">
      <alignment horizontal="right"/>
    </xf>
    <xf numFmtId="0" fontId="9" fillId="30" borderId="18" xfId="0" applyFont="1" applyFill="1" applyBorder="1"/>
    <xf numFmtId="0" fontId="0" fillId="30" borderId="10" xfId="0" applyFill="1" applyBorder="1" applyAlignment="1">
      <alignment vertical="center"/>
    </xf>
    <xf numFmtId="0" fontId="9" fillId="0" borderId="15" xfId="0" applyFont="1" applyFill="1" applyBorder="1" applyAlignment="1">
      <alignment wrapText="1"/>
    </xf>
    <xf numFmtId="0" fontId="0" fillId="0" borderId="15" xfId="0" applyFill="1" applyBorder="1"/>
    <xf numFmtId="0" fontId="0" fillId="0" borderId="16" xfId="0" applyFill="1" applyBorder="1"/>
    <xf numFmtId="0" fontId="0" fillId="30" borderId="15" xfId="0" applyFill="1" applyBorder="1"/>
    <xf numFmtId="0" fontId="0" fillId="30" borderId="16" xfId="0" applyFill="1" applyBorder="1"/>
    <xf numFmtId="0" fontId="0" fillId="0" borderId="18" xfId="0" applyBorder="1"/>
    <xf numFmtId="0" fontId="0" fillId="0" borderId="12" xfId="0" applyBorder="1"/>
    <xf numFmtId="0" fontId="9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0" borderId="15" xfId="0" applyFill="1" applyBorder="1"/>
    <xf numFmtId="0" fontId="9" fillId="30" borderId="15" xfId="0" applyFont="1" applyFill="1" applyBorder="1" applyAlignment="1">
      <alignment wrapText="1"/>
    </xf>
    <xf numFmtId="0" fontId="9" fillId="0" borderId="18" xfId="0" applyFont="1" applyFill="1" applyBorder="1"/>
    <xf numFmtId="44" fontId="6" fillId="0" borderId="0" xfId="0" applyNumberFormat="1" applyFont="1" applyBorder="1" applyAlignment="1">
      <alignment wrapText="1"/>
    </xf>
    <xf numFmtId="8" fontId="0" fillId="0" borderId="0" xfId="0" applyNumberFormat="1" applyAlignment="1">
      <alignment horizontal="center"/>
    </xf>
    <xf numFmtId="0" fontId="9" fillId="30" borderId="10" xfId="0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16" xfId="0" applyFill="1" applyBorder="1"/>
    <xf numFmtId="0" fontId="9" fillId="0" borderId="16" xfId="0" applyFont="1" applyFill="1" applyBorder="1" applyAlignment="1">
      <alignment horizontal="center" vertical="center"/>
    </xf>
    <xf numFmtId="0" fontId="9" fillId="30" borderId="16" xfId="0" applyFont="1" applyFill="1" applyBorder="1" applyAlignment="1">
      <alignment horizontal="center" vertical="center"/>
    </xf>
    <xf numFmtId="0" fontId="0" fillId="24" borderId="15" xfId="0" applyFill="1" applyBorder="1"/>
    <xf numFmtId="0" fontId="0" fillId="24" borderId="16" xfId="0" applyFill="1" applyBorder="1"/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0" fontId="37" fillId="0" borderId="18" xfId="0" applyFont="1" applyBorder="1" applyAlignment="1"/>
    <xf numFmtId="0" fontId="37" fillId="0" borderId="12" xfId="0" applyFont="1" applyBorder="1" applyAlignment="1"/>
    <xf numFmtId="0" fontId="6" fillId="30" borderId="13" xfId="0" applyFont="1" applyFill="1" applyBorder="1"/>
    <xf numFmtId="0" fontId="6" fillId="30" borderId="18" xfId="0" applyFont="1" applyFill="1" applyBorder="1"/>
    <xf numFmtId="0" fontId="6" fillId="30" borderId="12" xfId="0" applyFont="1" applyFill="1" applyBorder="1"/>
    <xf numFmtId="0" fontId="37" fillId="0" borderId="13" xfId="0" applyFont="1" applyBorder="1" applyAlignment="1">
      <alignment horizontal="justify"/>
    </xf>
    <xf numFmtId="0" fontId="37" fillId="0" borderId="18" xfId="0" applyFont="1" applyBorder="1" applyAlignment="1">
      <alignment horizontal="justify"/>
    </xf>
    <xf numFmtId="0" fontId="0" fillId="30" borderId="10" xfId="0" applyFill="1" applyBorder="1" applyAlignment="1">
      <alignment horizontal="center" vertical="center"/>
    </xf>
    <xf numFmtId="2" fontId="0" fillId="0" borderId="10" xfId="0" applyNumberFormat="1" applyBorder="1"/>
    <xf numFmtId="1" fontId="0" fillId="0" borderId="10" xfId="0" applyNumberFormat="1" applyBorder="1" applyAlignment="1">
      <alignment horizontal="center"/>
    </xf>
    <xf numFmtId="0" fontId="12" fillId="38" borderId="10" xfId="0" applyFont="1" applyFill="1" applyBorder="1"/>
    <xf numFmtId="0" fontId="0" fillId="38" borderId="10" xfId="0" applyFill="1" applyBorder="1"/>
    <xf numFmtId="44" fontId="0" fillId="38" borderId="10" xfId="31" applyFont="1" applyFill="1" applyBorder="1"/>
    <xf numFmtId="43" fontId="0" fillId="38" borderId="10" xfId="33" applyFont="1" applyFill="1" applyBorder="1"/>
    <xf numFmtId="43" fontId="0" fillId="38" borderId="10" xfId="33" applyFont="1" applyFill="1" applyBorder="1" applyAlignment="1">
      <alignment horizontal="center"/>
    </xf>
    <xf numFmtId="1" fontId="5" fillId="38" borderId="10" xfId="0" applyNumberFormat="1" applyFont="1" applyFill="1" applyBorder="1" applyAlignment="1">
      <alignment horizontal="center"/>
    </xf>
    <xf numFmtId="166" fontId="0" fillId="38" borderId="10" xfId="0" applyNumberFormat="1" applyFill="1" applyBorder="1" applyAlignment="1">
      <alignment horizontal="center"/>
    </xf>
    <xf numFmtId="165" fontId="0" fillId="38" borderId="10" xfId="0" applyNumberFormat="1" applyFill="1" applyBorder="1"/>
    <xf numFmtId="0" fontId="0" fillId="38" borderId="10" xfId="0" applyFill="1" applyBorder="1" applyAlignment="1">
      <alignment horizontal="center"/>
    </xf>
    <xf numFmtId="44" fontId="0" fillId="38" borderId="10" xfId="31" applyFont="1" applyFill="1" applyBorder="1" applyAlignment="1">
      <alignment horizontal="center"/>
    </xf>
    <xf numFmtId="1" fontId="5" fillId="38" borderId="10" xfId="33" applyNumberFormat="1" applyFont="1" applyFill="1" applyBorder="1" applyAlignment="1">
      <alignment horizontal="center"/>
    </xf>
    <xf numFmtId="165" fontId="0" fillId="3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Border="1"/>
    <xf numFmtId="8" fontId="0" fillId="0" borderId="0" xfId="0" applyNumberFormat="1" applyBorder="1"/>
    <xf numFmtId="43" fontId="4" fillId="0" borderId="0" xfId="33" applyFont="1" applyBorder="1"/>
    <xf numFmtId="44" fontId="0" fillId="0" borderId="0" xfId="0" applyNumberFormat="1" applyBorder="1"/>
    <xf numFmtId="44" fontId="0" fillId="0" borderId="10" xfId="0" applyNumberFormat="1" applyBorder="1"/>
    <xf numFmtId="44" fontId="0" fillId="0" borderId="10" xfId="44" applyFont="1" applyBorder="1"/>
    <xf numFmtId="2" fontId="0" fillId="0" borderId="0" xfId="0" applyNumberFormat="1" applyAlignment="1">
      <alignment horizontal="center"/>
    </xf>
    <xf numFmtId="44" fontId="0" fillId="38" borderId="10" xfId="31" applyFont="1" applyFill="1" applyBorder="1" applyAlignment="1"/>
    <xf numFmtId="165" fontId="0" fillId="38" borderId="10" xfId="33" applyNumberFormat="1" applyFont="1" applyFill="1" applyBorder="1"/>
    <xf numFmtId="0" fontId="0" fillId="30" borderId="12" xfId="0" applyFill="1" applyBorder="1" applyAlignment="1">
      <alignment vertical="center"/>
    </xf>
    <xf numFmtId="164" fontId="6" fillId="0" borderId="0" xfId="0" applyNumberFormat="1" applyFont="1" applyBorder="1" applyAlignment="1">
      <alignment horizontal="center"/>
    </xf>
    <xf numFmtId="0" fontId="9" fillId="30" borderId="10" xfId="0" applyFont="1" applyFill="1" applyBorder="1" applyAlignment="1">
      <alignment horizontal="center"/>
    </xf>
    <xf numFmtId="0" fontId="9" fillId="30" borderId="12" xfId="0" applyFont="1" applyFill="1" applyBorder="1" applyAlignment="1">
      <alignment horizontal="center"/>
    </xf>
    <xf numFmtId="0" fontId="9" fillId="0" borderId="0" xfId="0" applyFont="1" applyFill="1"/>
    <xf numFmtId="0" fontId="0" fillId="24" borderId="13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/>
    </xf>
    <xf numFmtId="0" fontId="0" fillId="0" borderId="15" xfId="0" applyFill="1" applyBorder="1"/>
    <xf numFmtId="0" fontId="9" fillId="30" borderId="16" xfId="0" applyFont="1" applyFill="1" applyBorder="1" applyAlignment="1">
      <alignment horizontal="center" vertical="center"/>
    </xf>
    <xf numFmtId="0" fontId="0" fillId="30" borderId="15" xfId="0" applyFill="1" applyBorder="1"/>
    <xf numFmtId="0" fontId="0" fillId="30" borderId="16" xfId="0" applyFill="1" applyBorder="1"/>
    <xf numFmtId="0" fontId="0" fillId="24" borderId="16" xfId="0" applyFill="1" applyBorder="1"/>
    <xf numFmtId="0" fontId="0" fillId="3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30" borderId="10" xfId="0" applyFill="1" applyBorder="1"/>
    <xf numFmtId="0" fontId="0" fillId="0" borderId="10" xfId="0" applyFill="1" applyBorder="1"/>
    <xf numFmtId="43" fontId="0" fillId="0" borderId="0" xfId="33" applyFont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0" fillId="3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0" borderId="10" xfId="0" applyFill="1" applyBorder="1"/>
    <xf numFmtId="0" fontId="0" fillId="30" borderId="12" xfId="0" applyFill="1" applyBorder="1" applyAlignment="1">
      <alignment horizontal="center" vertical="center"/>
    </xf>
    <xf numFmtId="0" fontId="0" fillId="0" borderId="18" xfId="0" applyBorder="1"/>
    <xf numFmtId="0" fontId="0" fillId="0" borderId="12" xfId="0" applyBorder="1"/>
    <xf numFmtId="0" fontId="0" fillId="0" borderId="15" xfId="0" applyFill="1" applyBorder="1"/>
    <xf numFmtId="0" fontId="0" fillId="0" borderId="16" xfId="0" applyFill="1" applyBorder="1"/>
    <xf numFmtId="0" fontId="0" fillId="30" borderId="15" xfId="0" applyFill="1" applyBorder="1"/>
    <xf numFmtId="0" fontId="0" fillId="30" borderId="16" xfId="0" applyFill="1" applyBorder="1"/>
    <xf numFmtId="0" fontId="0" fillId="24" borderId="15" xfId="0" applyFill="1" applyBorder="1"/>
    <xf numFmtId="0" fontId="0" fillId="24" borderId="16" xfId="0" applyFill="1" applyBorder="1"/>
    <xf numFmtId="0" fontId="0" fillId="3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9" fillId="30" borderId="15" xfId="0" applyFont="1" applyFill="1" applyBorder="1"/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9" fillId="29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9" fillId="24" borderId="18" xfId="0" applyFont="1" applyFill="1" applyBorder="1"/>
    <xf numFmtId="0" fontId="9" fillId="27" borderId="14" xfId="0" applyFont="1" applyFill="1" applyBorder="1"/>
    <xf numFmtId="0" fontId="9" fillId="24" borderId="14" xfId="0" applyFont="1" applyFill="1" applyBorder="1"/>
    <xf numFmtId="0" fontId="0" fillId="24" borderId="14" xfId="0" applyFill="1" applyBorder="1" applyAlignment="1">
      <alignment wrapText="1"/>
    </xf>
    <xf numFmtId="0" fontId="5" fillId="30" borderId="15" xfId="0" applyFont="1" applyFill="1" applyBorder="1"/>
    <xf numFmtId="0" fontId="5" fillId="30" borderId="16" xfId="0" applyFont="1" applyFill="1" applyBorder="1" applyAlignment="1">
      <alignment horizontal="left"/>
    </xf>
    <xf numFmtId="0" fontId="9" fillId="0" borderId="18" xfId="0" applyFont="1" applyBorder="1"/>
    <xf numFmtId="0" fontId="0" fillId="0" borderId="14" xfId="0" applyFill="1" applyBorder="1" applyAlignment="1">
      <alignment wrapText="1"/>
    </xf>
    <xf numFmtId="0" fontId="0" fillId="3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/>
    <xf numFmtId="0" fontId="0" fillId="0" borderId="16" xfId="0" applyFill="1" applyBorder="1"/>
    <xf numFmtId="0" fontId="0" fillId="30" borderId="15" xfId="0" applyFill="1" applyBorder="1"/>
    <xf numFmtId="0" fontId="0" fillId="30" borderId="16" xfId="0" applyFill="1" applyBorder="1"/>
    <xf numFmtId="0" fontId="0" fillId="24" borderId="15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3" fontId="6" fillId="0" borderId="0" xfId="0" applyNumberFormat="1" applyFont="1" applyBorder="1"/>
    <xf numFmtId="2" fontId="6" fillId="0" borderId="10" xfId="0" applyNumberFormat="1" applyFont="1" applyBorder="1"/>
    <xf numFmtId="43" fontId="0" fillId="0" borderId="10" xfId="0" applyNumberFormat="1" applyFill="1" applyBorder="1"/>
    <xf numFmtId="2" fontId="0" fillId="0" borderId="10" xfId="0" applyNumberFormat="1" applyFill="1" applyBorder="1"/>
    <xf numFmtId="8" fontId="6" fillId="0" borderId="0" xfId="31" applyNumberFormat="1" applyFont="1" applyBorder="1"/>
    <xf numFmtId="0" fontId="0" fillId="30" borderId="14" xfId="0" applyFill="1" applyBorder="1" applyAlignment="1">
      <alignment wrapText="1"/>
    </xf>
    <xf numFmtId="0" fontId="0" fillId="30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12" fillId="0" borderId="10" xfId="0" applyFont="1" applyFill="1" applyBorder="1"/>
    <xf numFmtId="43" fontId="9" fillId="0" borderId="10" xfId="0" applyNumberFormat="1" applyFont="1" applyBorder="1" applyAlignment="1">
      <alignment horizontal="center"/>
    </xf>
    <xf numFmtId="167" fontId="0" fillId="38" borderId="10" xfId="0" applyNumberFormat="1" applyFill="1" applyBorder="1"/>
    <xf numFmtId="0" fontId="12" fillId="30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/>
    <xf numFmtId="0" fontId="0" fillId="0" borderId="16" xfId="0" applyFill="1" applyBorder="1"/>
    <xf numFmtId="0" fontId="0" fillId="30" borderId="15" xfId="0" applyFill="1" applyBorder="1"/>
    <xf numFmtId="0" fontId="0" fillId="30" borderId="16" xfId="0" applyFill="1" applyBorder="1"/>
    <xf numFmtId="0" fontId="0" fillId="0" borderId="18" xfId="0" applyBorder="1"/>
    <xf numFmtId="0" fontId="0" fillId="24" borderId="15" xfId="0" applyFill="1" applyBorder="1"/>
    <xf numFmtId="0" fontId="0" fillId="24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12" fillId="27" borderId="14" xfId="0" applyFont="1" applyFill="1" applyBorder="1"/>
    <xf numFmtId="0" fontId="0" fillId="24" borderId="10" xfId="0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0" fillId="0" borderId="10" xfId="0" applyFill="1" applyBorder="1"/>
    <xf numFmtId="0" fontId="9" fillId="30" borderId="16" xfId="0" applyFont="1" applyFill="1" applyBorder="1" applyAlignment="1">
      <alignment horizontal="center" vertical="center"/>
    </xf>
    <xf numFmtId="0" fontId="0" fillId="30" borderId="15" xfId="0" applyFill="1" applyBorder="1"/>
    <xf numFmtId="0" fontId="0" fillId="30" borderId="16" xfId="0" applyFill="1" applyBorder="1"/>
    <xf numFmtId="0" fontId="0" fillId="0" borderId="15" xfId="0" applyFill="1" applyBorder="1"/>
    <xf numFmtId="0" fontId="0" fillId="0" borderId="16" xfId="0" applyFill="1" applyBorder="1"/>
    <xf numFmtId="0" fontId="9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9" fillId="0" borderId="16" xfId="0" applyFont="1" applyFill="1" applyBorder="1"/>
    <xf numFmtId="44" fontId="0" fillId="0" borderId="10" xfId="31" applyFont="1" applyFill="1" applyBorder="1"/>
    <xf numFmtId="43" fontId="0" fillId="0" borderId="10" xfId="33" applyFont="1" applyFill="1" applyBorder="1"/>
    <xf numFmtId="43" fontId="0" fillId="0" borderId="10" xfId="33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/>
    <xf numFmtId="167" fontId="0" fillId="0" borderId="10" xfId="33" applyNumberFormat="1" applyFont="1" applyFill="1" applyBorder="1"/>
    <xf numFmtId="43" fontId="9" fillId="0" borderId="10" xfId="0" applyNumberFormat="1" applyFont="1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0" fillId="0" borderId="10" xfId="0" applyFill="1" applyBorder="1"/>
    <xf numFmtId="0" fontId="0" fillId="30" borderId="15" xfId="0" applyFill="1" applyBorder="1"/>
    <xf numFmtId="0" fontId="0" fillId="30" borderId="16" xfId="0" applyFill="1" applyBorder="1"/>
    <xf numFmtId="0" fontId="0" fillId="0" borderId="15" xfId="0" applyFill="1" applyBorder="1"/>
    <xf numFmtId="0" fontId="0" fillId="0" borderId="16" xfId="0" applyFill="1" applyBorder="1"/>
    <xf numFmtId="0" fontId="0" fillId="24" borderId="15" xfId="0" applyFill="1" applyBorder="1"/>
    <xf numFmtId="0" fontId="0" fillId="24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0" fillId="30" borderId="10" xfId="0" applyFill="1" applyBorder="1"/>
    <xf numFmtId="0" fontId="0" fillId="0" borderId="10" xfId="0" applyFill="1" applyBorder="1"/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4" xfId="0" applyFill="1" applyBorder="1" applyAlignment="1"/>
    <xf numFmtId="0" fontId="0" fillId="35" borderId="15" xfId="0" applyFill="1" applyBorder="1" applyAlignment="1"/>
    <xf numFmtId="0" fontId="0" fillId="35" borderId="10" xfId="0" applyFill="1" applyBorder="1"/>
    <xf numFmtId="0" fontId="0" fillId="35" borderId="13" xfId="0" applyFill="1" applyBorder="1"/>
    <xf numFmtId="0" fontId="0" fillId="35" borderId="10" xfId="0" applyFill="1" applyBorder="1" applyAlignment="1">
      <alignment horizontal="center"/>
    </xf>
    <xf numFmtId="0" fontId="0" fillId="35" borderId="16" xfId="0" applyFill="1" applyBorder="1"/>
    <xf numFmtId="0" fontId="0" fillId="35" borderId="10" xfId="0" applyFill="1" applyBorder="1" applyAlignment="1">
      <alignment horizontal="left"/>
    </xf>
    <xf numFmtId="0" fontId="0" fillId="35" borderId="13" xfId="0" applyFill="1" applyBorder="1" applyAlignment="1">
      <alignment horizontal="center"/>
    </xf>
    <xf numFmtId="0" fontId="9" fillId="35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center" vertical="center"/>
    </xf>
    <xf numFmtId="0" fontId="9" fillId="24" borderId="0" xfId="0" applyFont="1" applyFill="1"/>
    <xf numFmtId="0" fontId="9" fillId="39" borderId="10" xfId="0" applyFont="1" applyFill="1" applyBorder="1"/>
    <xf numFmtId="0" fontId="0" fillId="39" borderId="10" xfId="0" applyFill="1" applyBorder="1"/>
    <xf numFmtId="0" fontId="0" fillId="39" borderId="13" xfId="0" applyFill="1" applyBorder="1"/>
    <xf numFmtId="0" fontId="0" fillId="39" borderId="10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9" fillId="30" borderId="16" xfId="0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9" fillId="24" borderId="12" xfId="0" applyFont="1" applyFill="1" applyBorder="1"/>
    <xf numFmtId="0" fontId="9" fillId="0" borderId="1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0" fillId="39" borderId="18" xfId="0" applyFill="1" applyBorder="1"/>
    <xf numFmtId="0" fontId="9" fillId="39" borderId="14" xfId="0" applyFont="1" applyFill="1" applyBorder="1"/>
    <xf numFmtId="0" fontId="9" fillId="3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39" fillId="30" borderId="10" xfId="0" applyFont="1" applyFill="1" applyBorder="1"/>
    <xf numFmtId="0" fontId="39" fillId="0" borderId="10" xfId="0" applyFont="1" applyFill="1" applyBorder="1"/>
    <xf numFmtId="0" fontId="9" fillId="24" borderId="14" xfId="0" applyFont="1" applyFill="1" applyBorder="1" applyAlignment="1">
      <alignment horizontal="left"/>
    </xf>
    <xf numFmtId="0" fontId="0" fillId="30" borderId="15" xfId="0" applyFill="1" applyBorder="1"/>
    <xf numFmtId="0" fontId="0" fillId="30" borderId="16" xfId="0" applyFill="1" applyBorder="1"/>
    <xf numFmtId="0" fontId="0" fillId="30" borderId="10" xfId="0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9" fillId="30" borderId="10" xfId="0" applyFont="1" applyFill="1" applyBorder="1" applyAlignment="1">
      <alignment horizontal="center" vertical="center"/>
    </xf>
    <xf numFmtId="0" fontId="0" fillId="30" borderId="15" xfId="0" applyFill="1" applyBorder="1"/>
    <xf numFmtId="0" fontId="0" fillId="30" borderId="16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0" borderId="18" xfId="0" applyFill="1" applyBorder="1" applyAlignment="1">
      <alignment horizontal="center"/>
    </xf>
    <xf numFmtId="0" fontId="9" fillId="0" borderId="14" xfId="0" applyFont="1" applyBorder="1"/>
    <xf numFmtId="0" fontId="0" fillId="0" borderId="15" xfId="0" applyFill="1" applyBorder="1"/>
    <xf numFmtId="0" fontId="0" fillId="0" borderId="16" xfId="0" applyFill="1" applyBorder="1"/>
    <xf numFmtId="0" fontId="0" fillId="3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4" borderId="15" xfId="0" applyFill="1" applyBorder="1"/>
    <xf numFmtId="0" fontId="0" fillId="24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0" fillId="30" borderId="15" xfId="0" applyFill="1" applyBorder="1"/>
    <xf numFmtId="0" fontId="0" fillId="30" borderId="16" xfId="0" applyFill="1" applyBorder="1"/>
    <xf numFmtId="0" fontId="0" fillId="0" borderId="15" xfId="0" applyFill="1" applyBorder="1"/>
    <xf numFmtId="0" fontId="0" fillId="0" borderId="16" xfId="0" applyFill="1" applyBorder="1"/>
    <xf numFmtId="0" fontId="0" fillId="24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30" borderId="15" xfId="0" applyFill="1" applyBorder="1"/>
    <xf numFmtId="0" fontId="0" fillId="30" borderId="16" xfId="0" applyFill="1" applyBorder="1"/>
    <xf numFmtId="0" fontId="0" fillId="24" borderId="15" xfId="0" applyFill="1" applyBorder="1"/>
    <xf numFmtId="0" fontId="0" fillId="24" borderId="16" xfId="0" applyFill="1" applyBorder="1"/>
    <xf numFmtId="0" fontId="0" fillId="0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6" xfId="0" applyFont="1" applyBorder="1" applyAlignment="1">
      <alignment wrapText="1"/>
    </xf>
    <xf numFmtId="0" fontId="12" fillId="41" borderId="10" xfId="0" applyFont="1" applyFill="1" applyBorder="1" applyAlignment="1">
      <alignment horizontal="left" vertical="center" wrapText="1"/>
    </xf>
    <xf numFmtId="0" fontId="9" fillId="41" borderId="14" xfId="0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44" fontId="9" fillId="0" borderId="10" xfId="0" applyNumberFormat="1" applyFont="1" applyBorder="1"/>
    <xf numFmtId="0" fontId="9" fillId="41" borderId="10" xfId="0" applyFont="1" applyFill="1" applyBorder="1"/>
    <xf numFmtId="0" fontId="0" fillId="41" borderId="10" xfId="0" applyFill="1" applyBorder="1"/>
    <xf numFmtId="0" fontId="0" fillId="41" borderId="10" xfId="0" applyFill="1" applyBorder="1" applyAlignment="1">
      <alignment horizontal="center"/>
    </xf>
    <xf numFmtId="0" fontId="0" fillId="41" borderId="16" xfId="0" applyFill="1" applyBorder="1"/>
    <xf numFmtId="0" fontId="0" fillId="41" borderId="10" xfId="0" applyFill="1" applyBorder="1" applyAlignment="1">
      <alignment horizontal="left"/>
    </xf>
    <xf numFmtId="0" fontId="9" fillId="3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7" fontId="0" fillId="0" borderId="10" xfId="33" applyNumberFormat="1" applyFont="1" applyFill="1" applyBorder="1" applyAlignment="1">
      <alignment horizontal="center"/>
    </xf>
    <xf numFmtId="43" fontId="9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30" borderId="15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0" borderId="10" xfId="0" applyFill="1" applyBorder="1"/>
    <xf numFmtId="0" fontId="9" fillId="40" borderId="10" xfId="0" applyFont="1" applyFill="1" applyBorder="1"/>
    <xf numFmtId="0" fontId="6" fillId="40" borderId="10" xfId="0" applyFont="1" applyFill="1" applyBorder="1"/>
    <xf numFmtId="0" fontId="6" fillId="40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46" fontId="9" fillId="0" borderId="24" xfId="0" applyNumberFormat="1" applyFont="1" applyBorder="1"/>
    <xf numFmtId="0" fontId="9" fillId="0" borderId="27" xfId="0" applyFont="1" applyBorder="1" applyAlignment="1">
      <alignment horizontal="right"/>
    </xf>
    <xf numFmtId="0" fontId="9" fillId="0" borderId="16" xfId="0" applyFont="1" applyBorder="1"/>
    <xf numFmtId="46" fontId="9" fillId="0" borderId="30" xfId="0" applyNumberFormat="1" applyFont="1" applyBorder="1"/>
    <xf numFmtId="0" fontId="9" fillId="0" borderId="1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9" fillId="30" borderId="23" xfId="0" applyFont="1" applyFill="1" applyBorder="1" applyAlignment="1">
      <alignment horizontal="right"/>
    </xf>
    <xf numFmtId="0" fontId="9" fillId="30" borderId="10" xfId="0" applyFont="1" applyFill="1" applyBorder="1" applyAlignment="1">
      <alignment horizontal="left"/>
    </xf>
    <xf numFmtId="0" fontId="9" fillId="30" borderId="28" xfId="0" applyFont="1" applyFill="1" applyBorder="1" applyAlignment="1">
      <alignment horizontal="right"/>
    </xf>
    <xf numFmtId="168" fontId="9" fillId="3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/>
    </xf>
    <xf numFmtId="0" fontId="9" fillId="24" borderId="16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47" applyAlignment="1">
      <alignment vertical="center" wrapText="1"/>
    </xf>
    <xf numFmtId="0" fontId="1" fillId="0" borderId="0" xfId="47"/>
    <xf numFmtId="0" fontId="50" fillId="43" borderId="18" xfId="47" applyFont="1" applyFill="1" applyBorder="1" applyAlignment="1">
      <alignment vertical="center"/>
    </xf>
    <xf numFmtId="0" fontId="8" fillId="43" borderId="18" xfId="47" applyFont="1" applyFill="1" applyBorder="1"/>
    <xf numFmtId="0" fontId="50" fillId="43" borderId="18" xfId="47" applyFont="1" applyFill="1" applyBorder="1" applyAlignment="1">
      <alignment horizontal="center"/>
    </xf>
    <xf numFmtId="49" fontId="8" fillId="43" borderId="13" xfId="47" applyNumberFormat="1" applyFont="1" applyFill="1" applyBorder="1" applyAlignment="1">
      <alignment horizontal="center" wrapText="1"/>
    </xf>
    <xf numFmtId="0" fontId="8" fillId="43" borderId="18" xfId="47" applyFont="1" applyFill="1" applyBorder="1" applyAlignment="1">
      <alignment horizontal="center"/>
    </xf>
    <xf numFmtId="49" fontId="8" fillId="43" borderId="18" xfId="47" applyNumberFormat="1" applyFont="1" applyFill="1" applyBorder="1" applyAlignment="1">
      <alignment horizontal="center" wrapText="1"/>
    </xf>
    <xf numFmtId="0" fontId="1" fillId="0" borderId="0" xfId="47" applyFont="1"/>
    <xf numFmtId="0" fontId="6" fillId="44" borderId="18" xfId="47" applyFont="1" applyFill="1" applyBorder="1" applyAlignment="1">
      <alignment vertical="center" wrapText="1"/>
    </xf>
    <xf numFmtId="0" fontId="9" fillId="44" borderId="18" xfId="47" applyFont="1" applyFill="1" applyBorder="1"/>
    <xf numFmtId="0" fontId="6" fillId="44" borderId="10" xfId="47" applyFont="1" applyFill="1" applyBorder="1" applyAlignment="1">
      <alignment horizontal="center"/>
    </xf>
    <xf numFmtId="49" fontId="9" fillId="44" borderId="10" xfId="47" applyNumberFormat="1" applyFont="1" applyFill="1" applyBorder="1" applyAlignment="1">
      <alignment horizontal="center" wrapText="1"/>
    </xf>
    <xf numFmtId="0" fontId="9" fillId="44" borderId="10" xfId="47" applyFont="1" applyFill="1" applyBorder="1" applyAlignment="1">
      <alignment horizontal="center"/>
    </xf>
    <xf numFmtId="0" fontId="6" fillId="45" borderId="18" xfId="47" applyFont="1" applyFill="1" applyBorder="1" applyAlignment="1">
      <alignment vertical="center" wrapText="1"/>
    </xf>
    <xf numFmtId="0" fontId="9" fillId="45" borderId="18" xfId="47" applyFont="1" applyFill="1" applyBorder="1"/>
    <xf numFmtId="0" fontId="6" fillId="45" borderId="18" xfId="47" applyFont="1" applyFill="1" applyBorder="1" applyAlignment="1">
      <alignment horizontal="center"/>
    </xf>
    <xf numFmtId="49" fontId="9" fillId="45" borderId="10" xfId="47" applyNumberFormat="1" applyFont="1" applyFill="1" applyBorder="1" applyAlignment="1">
      <alignment horizontal="center" wrapText="1"/>
    </xf>
    <xf numFmtId="0" fontId="9" fillId="45" borderId="10" xfId="47" applyFont="1" applyFill="1" applyBorder="1" applyAlignment="1">
      <alignment horizontal="center"/>
    </xf>
    <xf numFmtId="0" fontId="9" fillId="0" borderId="13" xfId="47" applyFont="1" applyBorder="1"/>
    <xf numFmtId="0" fontId="1" fillId="0" borderId="10" xfId="47" applyBorder="1" applyAlignment="1">
      <alignment horizontal="center"/>
    </xf>
    <xf numFmtId="49" fontId="9" fillId="46" borderId="10" xfId="47" applyNumberFormat="1" applyFont="1" applyFill="1" applyBorder="1" applyAlignment="1">
      <alignment horizontal="center" wrapText="1"/>
    </xf>
    <xf numFmtId="0" fontId="9" fillId="46" borderId="10" xfId="47" applyFont="1" applyFill="1" applyBorder="1" applyAlignment="1">
      <alignment horizontal="center"/>
    </xf>
    <xf numFmtId="49" fontId="9" fillId="26" borderId="10" xfId="47" applyNumberFormat="1" applyFont="1" applyFill="1" applyBorder="1" applyAlignment="1">
      <alignment horizontal="center" wrapText="1"/>
    </xf>
    <xf numFmtId="0" fontId="9" fillId="26" borderId="0" xfId="47" applyFont="1" applyFill="1"/>
    <xf numFmtId="49" fontId="9" fillId="24" borderId="10" xfId="47" applyNumberFormat="1" applyFont="1" applyFill="1" applyBorder="1" applyAlignment="1">
      <alignment horizontal="center" wrapText="1"/>
    </xf>
    <xf numFmtId="0" fontId="9" fillId="24" borderId="10" xfId="47" applyFont="1" applyFill="1" applyBorder="1" applyAlignment="1">
      <alignment horizontal="center"/>
    </xf>
    <xf numFmtId="0" fontId="9" fillId="0" borderId="13" xfId="47" applyFont="1" applyBorder="1" applyAlignment="1">
      <alignment horizontal="left"/>
    </xf>
    <xf numFmtId="49" fontId="1" fillId="46" borderId="10" xfId="47" applyNumberFormat="1" applyFill="1" applyBorder="1" applyAlignment="1">
      <alignment horizontal="center" wrapText="1"/>
    </xf>
    <xf numFmtId="0" fontId="1" fillId="46" borderId="10" xfId="47" applyFill="1" applyBorder="1" applyAlignment="1">
      <alignment horizontal="center"/>
    </xf>
    <xf numFmtId="49" fontId="1" fillId="26" borderId="10" xfId="47" applyNumberFormat="1" applyFill="1" applyBorder="1" applyAlignment="1">
      <alignment horizontal="center" wrapText="1"/>
    </xf>
    <xf numFmtId="0" fontId="9" fillId="26" borderId="10" xfId="47" applyFont="1" applyFill="1" applyBorder="1" applyAlignment="1">
      <alignment horizontal="center"/>
    </xf>
    <xf numFmtId="49" fontId="1" fillId="24" borderId="10" xfId="47" applyNumberFormat="1" applyFill="1" applyBorder="1" applyAlignment="1">
      <alignment horizontal="center" wrapText="1"/>
    </xf>
    <xf numFmtId="0" fontId="1" fillId="24" borderId="10" xfId="47" applyFill="1" applyBorder="1" applyAlignment="1">
      <alignment horizontal="center"/>
    </xf>
    <xf numFmtId="0" fontId="9" fillId="0" borderId="10" xfId="47" applyFont="1" applyBorder="1" applyAlignment="1">
      <alignment horizontal="left"/>
    </xf>
    <xf numFmtId="0" fontId="9" fillId="0" borderId="29" xfId="47" applyFont="1" applyBorder="1" applyAlignment="1">
      <alignment horizontal="left" vertical="center" wrapText="1"/>
    </xf>
    <xf numFmtId="0" fontId="51" fillId="0" borderId="29" xfId="47" applyFont="1" applyBorder="1" applyAlignment="1">
      <alignment horizontal="left" vertical="center" wrapText="1"/>
    </xf>
    <xf numFmtId="0" fontId="9" fillId="45" borderId="10" xfId="47" applyFont="1" applyFill="1" applyBorder="1"/>
    <xf numFmtId="0" fontId="6" fillId="45" borderId="10" xfId="47" applyFont="1" applyFill="1" applyBorder="1" applyAlignment="1">
      <alignment horizontal="center"/>
    </xf>
    <xf numFmtId="0" fontId="52" fillId="0" borderId="0" xfId="47" applyFont="1"/>
    <xf numFmtId="0" fontId="9" fillId="29" borderId="10" xfId="47" applyFont="1" applyFill="1" applyBorder="1"/>
    <xf numFmtId="0" fontId="9" fillId="29" borderId="10" xfId="47" applyFont="1" applyFill="1" applyBorder="1" applyAlignment="1">
      <alignment horizontal="center"/>
    </xf>
    <xf numFmtId="49" fontId="9" fillId="47" borderId="10" xfId="47" applyNumberFormat="1" applyFont="1" applyFill="1" applyBorder="1" applyAlignment="1">
      <alignment horizontal="center" wrapText="1"/>
    </xf>
    <xf numFmtId="0" fontId="9" fillId="47" borderId="10" xfId="47" applyFont="1" applyFill="1" applyBorder="1" applyAlignment="1">
      <alignment horizontal="center"/>
    </xf>
    <xf numFmtId="49" fontId="9" fillId="30" borderId="10" xfId="47" applyNumberFormat="1" applyFont="1" applyFill="1" applyBorder="1" applyAlignment="1">
      <alignment horizontal="center" wrapText="1"/>
    </xf>
    <xf numFmtId="0" fontId="9" fillId="30" borderId="10" xfId="47" applyFont="1" applyFill="1" applyBorder="1" applyAlignment="1">
      <alignment horizontal="center"/>
    </xf>
    <xf numFmtId="0" fontId="6" fillId="29" borderId="10" xfId="47" applyFont="1" applyFill="1" applyBorder="1" applyAlignment="1">
      <alignment horizontal="center"/>
    </xf>
    <xf numFmtId="0" fontId="51" fillId="30" borderId="10" xfId="47" applyFont="1" applyFill="1" applyBorder="1" applyAlignment="1">
      <alignment horizontal="center"/>
    </xf>
    <xf numFmtId="0" fontId="9" fillId="29" borderId="18" xfId="47" applyFont="1" applyFill="1" applyBorder="1"/>
    <xf numFmtId="0" fontId="9" fillId="43" borderId="18" xfId="47" applyFont="1" applyFill="1" applyBorder="1"/>
    <xf numFmtId="0" fontId="53" fillId="43" borderId="10" xfId="47" applyFont="1" applyFill="1" applyBorder="1" applyAlignment="1">
      <alignment horizontal="center"/>
    </xf>
    <xf numFmtId="49" fontId="9" fillId="43" borderId="13" xfId="47" applyNumberFormat="1" applyFont="1" applyFill="1" applyBorder="1" applyAlignment="1">
      <alignment horizontal="center" wrapText="1"/>
    </xf>
    <xf numFmtId="0" fontId="9" fillId="43" borderId="18" xfId="47" applyFont="1" applyFill="1" applyBorder="1" applyAlignment="1">
      <alignment horizontal="center"/>
    </xf>
    <xf numFmtId="49" fontId="9" fillId="43" borderId="18" xfId="47" applyNumberFormat="1" applyFont="1" applyFill="1" applyBorder="1" applyAlignment="1">
      <alignment horizontal="center" wrapText="1"/>
    </xf>
    <xf numFmtId="0" fontId="51" fillId="0" borderId="10" xfId="47" applyFont="1" applyBorder="1" applyAlignment="1">
      <alignment horizontal="center"/>
    </xf>
    <xf numFmtId="49" fontId="9" fillId="48" borderId="10" xfId="47" applyNumberFormat="1" applyFont="1" applyFill="1" applyBorder="1" applyAlignment="1">
      <alignment horizontal="center" wrapText="1"/>
    </xf>
    <xf numFmtId="0" fontId="51" fillId="48" borderId="10" xfId="47" applyFont="1" applyFill="1" applyBorder="1" applyAlignment="1">
      <alignment horizontal="center"/>
    </xf>
    <xf numFmtId="49" fontId="9" fillId="48" borderId="0" xfId="47" applyNumberFormat="1" applyFont="1" applyFill="1" applyAlignment="1">
      <alignment horizontal="center" vertical="center" wrapText="1"/>
    </xf>
    <xf numFmtId="0" fontId="51" fillId="48" borderId="10" xfId="47" applyFont="1" applyFill="1" applyBorder="1" applyAlignment="1">
      <alignment horizontal="center" vertical="center"/>
    </xf>
    <xf numFmtId="49" fontId="9" fillId="47" borderId="0" xfId="47" applyNumberFormat="1" applyFont="1" applyFill="1" applyAlignment="1">
      <alignment horizontal="center" vertical="center" wrapText="1"/>
    </xf>
    <xf numFmtId="49" fontId="51" fillId="48" borderId="10" xfId="47" applyNumberFormat="1" applyFont="1" applyFill="1" applyBorder="1" applyAlignment="1">
      <alignment horizontal="center" wrapText="1"/>
    </xf>
    <xf numFmtId="49" fontId="51" fillId="30" borderId="10" xfId="47" applyNumberFormat="1" applyFont="1" applyFill="1" applyBorder="1" applyAlignment="1">
      <alignment horizontal="center" wrapText="1"/>
    </xf>
    <xf numFmtId="0" fontId="9" fillId="0" borderId="10" xfId="47" applyFont="1" applyBorder="1" applyAlignment="1">
      <alignment horizontal="left" vertical="center" wrapText="1"/>
    </xf>
    <xf numFmtId="0" fontId="9" fillId="0" borderId="10" xfId="47" applyFont="1" applyBorder="1" applyAlignment="1">
      <alignment horizontal="center" vertical="center" wrapText="1"/>
    </xf>
    <xf numFmtId="0" fontId="9" fillId="48" borderId="10" xfId="47" applyFont="1" applyFill="1" applyBorder="1" applyAlignment="1">
      <alignment horizontal="center"/>
    </xf>
    <xf numFmtId="0" fontId="9" fillId="48" borderId="10" xfId="47" applyFont="1" applyFill="1" applyBorder="1" applyAlignment="1">
      <alignment horizontal="center" vertical="center" wrapText="1"/>
    </xf>
    <xf numFmtId="0" fontId="9" fillId="47" borderId="10" xfId="47" applyFont="1" applyFill="1" applyBorder="1" applyAlignment="1">
      <alignment horizontal="center" vertical="center" wrapText="1"/>
    </xf>
    <xf numFmtId="0" fontId="1" fillId="30" borderId="10" xfId="47" applyFill="1" applyBorder="1"/>
    <xf numFmtId="0" fontId="51" fillId="47" borderId="10" xfId="47" applyFont="1" applyFill="1" applyBorder="1" applyAlignment="1">
      <alignment horizontal="center"/>
    </xf>
    <xf numFmtId="0" fontId="9" fillId="30" borderId="10" xfId="47" applyFont="1" applyFill="1" applyBorder="1" applyAlignment="1">
      <alignment horizontal="center" vertical="center" wrapText="1"/>
    </xf>
    <xf numFmtId="0" fontId="9" fillId="0" borderId="0" xfId="47" applyFont="1" applyAlignment="1">
      <alignment horizontal="left" vertical="center" wrapText="1"/>
    </xf>
    <xf numFmtId="0" fontId="50" fillId="43" borderId="26" xfId="47" applyFont="1" applyFill="1" applyBorder="1" applyAlignment="1">
      <alignment vertical="center"/>
    </xf>
    <xf numFmtId="0" fontId="9" fillId="43" borderId="26" xfId="47" applyFont="1" applyFill="1" applyBorder="1"/>
    <xf numFmtId="0" fontId="53" fillId="43" borderId="14" xfId="47" applyFont="1" applyFill="1" applyBorder="1" applyAlignment="1">
      <alignment horizontal="center"/>
    </xf>
    <xf numFmtId="49" fontId="9" fillId="43" borderId="23" xfId="47" applyNumberFormat="1" applyFont="1" applyFill="1" applyBorder="1" applyAlignment="1">
      <alignment horizontal="center" wrapText="1"/>
    </xf>
    <xf numFmtId="0" fontId="9" fillId="43" borderId="26" xfId="47" applyFont="1" applyFill="1" applyBorder="1" applyAlignment="1">
      <alignment horizontal="center"/>
    </xf>
    <xf numFmtId="49" fontId="9" fillId="43" borderId="26" xfId="47" applyNumberFormat="1" applyFont="1" applyFill="1" applyBorder="1" applyAlignment="1">
      <alignment horizontal="center" wrapText="1"/>
    </xf>
    <xf numFmtId="0" fontId="9" fillId="0" borderId="10" xfId="47" applyFont="1" applyFill="1" applyBorder="1"/>
    <xf numFmtId="0" fontId="9" fillId="0" borderId="10" xfId="47" applyFont="1" applyFill="1" applyBorder="1" applyAlignment="1">
      <alignment horizontal="center"/>
    </xf>
    <xf numFmtId="0" fontId="51" fillId="0" borderId="10" xfId="47" applyFont="1" applyFill="1" applyBorder="1" applyAlignment="1">
      <alignment horizontal="center"/>
    </xf>
    <xf numFmtId="2" fontId="9" fillId="30" borderId="10" xfId="47" applyNumberFormat="1" applyFont="1" applyFill="1" applyBorder="1" applyAlignment="1">
      <alignment horizontal="center" wrapText="1"/>
    </xf>
    <xf numFmtId="0" fontId="51" fillId="30" borderId="10" xfId="47" applyFont="1" applyFill="1" applyBorder="1"/>
    <xf numFmtId="0" fontId="50" fillId="43" borderId="10" xfId="47" applyFont="1" applyFill="1" applyBorder="1" applyAlignment="1">
      <alignment horizontal="center"/>
    </xf>
    <xf numFmtId="0" fontId="9" fillId="0" borderId="14" xfId="47" applyFont="1" applyBorder="1"/>
    <xf numFmtId="0" fontId="9" fillId="0" borderId="16" xfId="47" applyFont="1" applyBorder="1" applyAlignment="1">
      <alignment horizontal="center" vertical="center" wrapText="1"/>
    </xf>
    <xf numFmtId="0" fontId="9" fillId="0" borderId="15" xfId="47" applyFont="1" applyBorder="1" applyAlignment="1">
      <alignment horizontal="left" vertical="center" wrapText="1"/>
    </xf>
    <xf numFmtId="49" fontId="9" fillId="47" borderId="0" xfId="47" applyNumberFormat="1" applyFont="1" applyFill="1" applyAlignment="1">
      <alignment wrapText="1"/>
    </xf>
    <xf numFmtId="0" fontId="9" fillId="0" borderId="15" xfId="47" applyFont="1" applyBorder="1" applyAlignment="1">
      <alignment horizontal="center" vertical="center" wrapText="1"/>
    </xf>
    <xf numFmtId="0" fontId="8" fillId="43" borderId="26" xfId="47" applyFont="1" applyFill="1" applyBorder="1"/>
    <xf numFmtId="49" fontId="8" fillId="43" borderId="23" xfId="47" applyNumberFormat="1" applyFont="1" applyFill="1" applyBorder="1" applyAlignment="1">
      <alignment horizontal="center" wrapText="1"/>
    </xf>
    <xf numFmtId="0" fontId="8" fillId="43" borderId="26" xfId="47" applyFont="1" applyFill="1" applyBorder="1" applyAlignment="1">
      <alignment horizontal="center"/>
    </xf>
    <xf numFmtId="49" fontId="8" fillId="43" borderId="26" xfId="47" applyNumberFormat="1" applyFont="1" applyFill="1" applyBorder="1" applyAlignment="1">
      <alignment horizontal="center" wrapText="1"/>
    </xf>
    <xf numFmtId="0" fontId="9" fillId="29" borderId="13" xfId="47" applyFont="1" applyFill="1" applyBorder="1"/>
    <xf numFmtId="0" fontId="9" fillId="47" borderId="10" xfId="47" applyFont="1" applyFill="1" applyBorder="1"/>
    <xf numFmtId="0" fontId="9" fillId="30" borderId="10" xfId="47" applyFont="1" applyFill="1" applyBorder="1"/>
    <xf numFmtId="0" fontId="9" fillId="29" borderId="10" xfId="47" applyFont="1" applyFill="1" applyBorder="1" applyAlignment="1">
      <alignment horizontal="left" vertical="center"/>
    </xf>
    <xf numFmtId="0" fontId="9" fillId="29" borderId="26" xfId="47" applyFont="1" applyFill="1" applyBorder="1" applyAlignment="1">
      <alignment horizontal="left" vertical="center"/>
    </xf>
    <xf numFmtId="0" fontId="9" fillId="30" borderId="13" xfId="47" applyFont="1" applyFill="1" applyBorder="1" applyAlignment="1">
      <alignment horizontal="center"/>
    </xf>
    <xf numFmtId="0" fontId="9" fillId="29" borderId="10" xfId="47" applyFont="1" applyFill="1" applyBorder="1" applyAlignment="1">
      <alignment vertical="center"/>
    </xf>
    <xf numFmtId="0" fontId="9" fillId="0" borderId="13" xfId="47" applyFont="1" applyBorder="1" applyAlignment="1">
      <alignment horizontal="left" vertical="center" wrapText="1"/>
    </xf>
    <xf numFmtId="0" fontId="51" fillId="0" borderId="10" xfId="47" applyFont="1" applyBorder="1" applyAlignment="1">
      <alignment horizontal="left" vertical="center" wrapText="1"/>
    </xf>
    <xf numFmtId="0" fontId="9" fillId="0" borderId="13" xfId="47" applyFont="1" applyBorder="1" applyAlignment="1">
      <alignment horizontal="center" vertical="center" wrapText="1"/>
    </xf>
    <xf numFmtId="0" fontId="9" fillId="0" borderId="13" xfId="47" applyFont="1" applyFill="1" applyBorder="1"/>
    <xf numFmtId="0" fontId="9" fillId="0" borderId="13" xfId="47" applyFont="1" applyFill="1" applyBorder="1" applyAlignment="1">
      <alignment horizontal="left"/>
    </xf>
    <xf numFmtId="0" fontId="9" fillId="46" borderId="10" xfId="47" applyFont="1" applyFill="1" applyBorder="1"/>
    <xf numFmtId="0" fontId="9" fillId="29" borderId="24" xfId="47" applyFont="1" applyFill="1" applyBorder="1" applyAlignment="1">
      <alignment vertical="center"/>
    </xf>
    <xf numFmtId="0" fontId="9" fillId="29" borderId="30" xfId="47" applyFont="1" applyFill="1" applyBorder="1" applyAlignment="1">
      <alignment vertical="center"/>
    </xf>
    <xf numFmtId="0" fontId="9" fillId="29" borderId="0" xfId="47" applyFont="1" applyFill="1" applyBorder="1" applyAlignment="1">
      <alignment vertical="center"/>
    </xf>
    <xf numFmtId="0" fontId="9" fillId="29" borderId="0" xfId="47" applyFont="1" applyFill="1" applyBorder="1" applyAlignment="1">
      <alignment horizontal="left" vertical="center" indent="3"/>
    </xf>
    <xf numFmtId="0" fontId="50" fillId="43" borderId="18" xfId="47" applyFont="1" applyFill="1" applyBorder="1"/>
    <xf numFmtId="0" fontId="51" fillId="46" borderId="10" xfId="47" applyFont="1" applyFill="1" applyBorder="1" applyAlignment="1">
      <alignment horizontal="center"/>
    </xf>
    <xf numFmtId="49" fontId="51" fillId="47" borderId="10" xfId="47" applyNumberFormat="1" applyFont="1" applyFill="1" applyBorder="1" applyAlignment="1">
      <alignment horizontal="center" wrapText="1"/>
    </xf>
    <xf numFmtId="49" fontId="51" fillId="46" borderId="10" xfId="47" applyNumberFormat="1" applyFont="1" applyFill="1" applyBorder="1" applyAlignment="1">
      <alignment horizontal="center" wrapText="1"/>
    </xf>
    <xf numFmtId="0" fontId="9" fillId="0" borderId="10" xfId="47" applyFont="1" applyBorder="1" applyAlignment="1">
      <alignment horizontal="center"/>
    </xf>
    <xf numFmtId="0" fontId="51" fillId="0" borderId="13" xfId="47" applyFont="1" applyBorder="1"/>
    <xf numFmtId="49" fontId="9" fillId="47" borderId="10" xfId="47" applyNumberFormat="1" applyFont="1" applyFill="1" applyBorder="1" applyAlignment="1">
      <alignment wrapText="1"/>
    </xf>
    <xf numFmtId="0" fontId="53" fillId="0" borderId="10" xfId="47" applyFont="1" applyFill="1" applyBorder="1" applyAlignment="1">
      <alignment horizontal="center"/>
    </xf>
    <xf numFmtId="0" fontId="9" fillId="0" borderId="10" xfId="47" applyFont="1" applyBorder="1"/>
    <xf numFmtId="0" fontId="9" fillId="49" borderId="18" xfId="47" applyFont="1" applyFill="1" applyBorder="1"/>
    <xf numFmtId="0" fontId="51" fillId="49" borderId="10" xfId="47" applyFont="1" applyFill="1" applyBorder="1" applyAlignment="1">
      <alignment horizontal="center"/>
    </xf>
    <xf numFmtId="49" fontId="51" fillId="49" borderId="13" xfId="47" applyNumberFormat="1" applyFont="1" applyFill="1" applyBorder="1" applyAlignment="1">
      <alignment horizontal="center" wrapText="1"/>
    </xf>
    <xf numFmtId="0" fontId="51" fillId="49" borderId="18" xfId="47" applyFont="1" applyFill="1" applyBorder="1" applyAlignment="1">
      <alignment horizontal="center"/>
    </xf>
    <xf numFmtId="49" fontId="9" fillId="49" borderId="18" xfId="47" applyNumberFormat="1" applyFont="1" applyFill="1" applyBorder="1" applyAlignment="1">
      <alignment horizontal="center" wrapText="1"/>
    </xf>
    <xf numFmtId="0" fontId="9" fillId="49" borderId="18" xfId="47" applyFont="1" applyFill="1" applyBorder="1" applyAlignment="1">
      <alignment horizontal="center"/>
    </xf>
    <xf numFmtId="49" fontId="51" fillId="49" borderId="26" xfId="47" applyNumberFormat="1" applyFont="1" applyFill="1" applyBorder="1" applyAlignment="1">
      <alignment horizontal="center" wrapText="1"/>
    </xf>
    <xf numFmtId="0" fontId="51" fillId="49" borderId="26" xfId="47" applyFont="1" applyFill="1" applyBorder="1" applyAlignment="1">
      <alignment horizontal="center"/>
    </xf>
    <xf numFmtId="0" fontId="54" fillId="43" borderId="18" xfId="47" applyFont="1" applyFill="1" applyBorder="1"/>
    <xf numFmtId="0" fontId="55" fillId="43" borderId="18" xfId="47" applyFont="1" applyFill="1" applyBorder="1"/>
    <xf numFmtId="0" fontId="54" fillId="43" borderId="10" xfId="47" applyFont="1" applyFill="1" applyBorder="1" applyAlignment="1">
      <alignment horizontal="center"/>
    </xf>
    <xf numFmtId="49" fontId="55" fillId="43" borderId="13" xfId="47" applyNumberFormat="1" applyFont="1" applyFill="1" applyBorder="1" applyAlignment="1">
      <alignment horizontal="center" wrapText="1"/>
    </xf>
    <xf numFmtId="0" fontId="55" fillId="43" borderId="18" xfId="47" applyFont="1" applyFill="1" applyBorder="1" applyAlignment="1">
      <alignment horizontal="center"/>
    </xf>
    <xf numFmtId="49" fontId="55" fillId="43" borderId="18" xfId="47" applyNumberFormat="1" applyFont="1" applyFill="1" applyBorder="1" applyAlignment="1">
      <alignment horizontal="center" wrapText="1"/>
    </xf>
    <xf numFmtId="49" fontId="55" fillId="43" borderId="26" xfId="47" applyNumberFormat="1" applyFont="1" applyFill="1" applyBorder="1" applyAlignment="1">
      <alignment horizontal="center" wrapText="1"/>
    </xf>
    <xf numFmtId="0" fontId="55" fillId="43" borderId="26" xfId="47" applyFont="1" applyFill="1" applyBorder="1" applyAlignment="1">
      <alignment horizontal="center"/>
    </xf>
    <xf numFmtId="0" fontId="56" fillId="0" borderId="0" xfId="47" applyFont="1"/>
    <xf numFmtId="0" fontId="51" fillId="0" borderId="0" xfId="47" applyFont="1"/>
    <xf numFmtId="0" fontId="57" fillId="0" borderId="0" xfId="47" applyFont="1"/>
    <xf numFmtId="0" fontId="58" fillId="0" borderId="0" xfId="47" applyFont="1"/>
    <xf numFmtId="0" fontId="6" fillId="0" borderId="0" xfId="47" applyFont="1" applyFill="1" applyBorder="1" applyAlignment="1">
      <alignment horizontal="center"/>
    </xf>
    <xf numFmtId="2" fontId="6" fillId="0" borderId="0" xfId="47" applyNumberFormat="1" applyFont="1" applyFill="1" applyBorder="1"/>
    <xf numFmtId="0" fontId="6" fillId="50" borderId="0" xfId="47" applyFont="1" applyFill="1" applyBorder="1" applyAlignment="1">
      <alignment horizontal="center" vertical="top" wrapText="1"/>
    </xf>
    <xf numFmtId="0" fontId="6" fillId="50" borderId="10" xfId="47" applyFont="1" applyFill="1" applyBorder="1" applyAlignment="1">
      <alignment horizontal="center" vertical="top" wrapText="1"/>
    </xf>
    <xf numFmtId="0" fontId="6" fillId="50" borderId="10" xfId="47" applyFont="1" applyFill="1" applyBorder="1" applyAlignment="1">
      <alignment vertical="center"/>
    </xf>
    <xf numFmtId="0" fontId="6" fillId="50" borderId="10" xfId="47" applyFont="1" applyFill="1" applyBorder="1" applyAlignment="1">
      <alignment horizontal="center"/>
    </xf>
    <xf numFmtId="2" fontId="6" fillId="50" borderId="10" xfId="47" applyNumberFormat="1" applyFont="1" applyFill="1" applyBorder="1"/>
    <xf numFmtId="2" fontId="6" fillId="50" borderId="10" xfId="47" applyNumberFormat="1" applyFont="1" applyFill="1" applyBorder="1" applyAlignment="1">
      <alignment horizontal="center"/>
    </xf>
    <xf numFmtId="2" fontId="51" fillId="0" borderId="0" xfId="47" applyNumberFormat="1" applyFont="1"/>
    <xf numFmtId="0" fontId="9" fillId="0" borderId="10" xfId="47" applyFont="1" applyBorder="1" applyAlignment="1">
      <alignment horizontal="left" vertical="top" wrapText="1"/>
    </xf>
    <xf numFmtId="0" fontId="9" fillId="0" borderId="10" xfId="47" applyFont="1" applyFill="1" applyBorder="1" applyAlignment="1">
      <alignment horizontal="center" vertical="top" wrapText="1"/>
    </xf>
    <xf numFmtId="2" fontId="6" fillId="0" borderId="10" xfId="47" applyNumberFormat="1" applyFont="1" applyFill="1" applyBorder="1" applyAlignment="1">
      <alignment vertical="center"/>
    </xf>
    <xf numFmtId="0" fontId="6" fillId="46" borderId="10" xfId="47" applyFont="1" applyFill="1" applyBorder="1" applyAlignment="1">
      <alignment horizontal="center"/>
    </xf>
    <xf numFmtId="2" fontId="6" fillId="46" borderId="10" xfId="47" applyNumberFormat="1" applyFont="1" applyFill="1" applyBorder="1"/>
    <xf numFmtId="0" fontId="6" fillId="47" borderId="10" xfId="47" applyFont="1" applyFill="1" applyBorder="1" applyAlignment="1">
      <alignment horizontal="center"/>
    </xf>
    <xf numFmtId="2" fontId="6" fillId="47" borderId="10" xfId="47" applyNumberFormat="1" applyFont="1" applyFill="1" applyBorder="1"/>
    <xf numFmtId="0" fontId="6" fillId="30" borderId="10" xfId="47" applyFont="1" applyFill="1" applyBorder="1" applyAlignment="1">
      <alignment horizontal="center"/>
    </xf>
    <xf numFmtId="2" fontId="6" fillId="30" borderId="10" xfId="47" applyNumberFormat="1" applyFont="1" applyFill="1" applyBorder="1" applyAlignment="1">
      <alignment horizontal="center"/>
    </xf>
    <xf numFmtId="0" fontId="51" fillId="0" borderId="0" xfId="47" applyFont="1" applyFill="1"/>
    <xf numFmtId="0" fontId="9" fillId="0" borderId="0" xfId="47" applyFont="1" applyBorder="1" applyAlignment="1">
      <alignment horizontal="left" vertical="top" wrapText="1"/>
    </xf>
    <xf numFmtId="0" fontId="6" fillId="0" borderId="10" xfId="47" applyFont="1" applyFill="1" applyBorder="1" applyAlignment="1">
      <alignment horizontal="center" vertical="top" wrapText="1"/>
    </xf>
    <xf numFmtId="0" fontId="9" fillId="0" borderId="0" xfId="47" applyFont="1" applyFill="1" applyBorder="1" applyAlignment="1">
      <alignment horizontal="left" vertical="top" wrapText="1"/>
    </xf>
    <xf numFmtId="0" fontId="9" fillId="0" borderId="18" xfId="47" applyFont="1" applyBorder="1" applyAlignment="1">
      <alignment horizontal="left" vertical="top" wrapText="1"/>
    </xf>
    <xf numFmtId="0" fontId="9" fillId="0" borderId="18" xfId="47" applyFont="1" applyFill="1" applyBorder="1" applyAlignment="1">
      <alignment horizontal="center" vertical="top" wrapText="1"/>
    </xf>
    <xf numFmtId="0" fontId="9" fillId="50" borderId="18" xfId="47" applyFont="1" applyFill="1" applyBorder="1" applyAlignment="1">
      <alignment horizontal="left" vertical="top" wrapText="1"/>
    </xf>
    <xf numFmtId="0" fontId="6" fillId="50" borderId="18" xfId="47" applyFont="1" applyFill="1" applyBorder="1" applyAlignment="1">
      <alignment horizontal="center" vertical="top" wrapText="1"/>
    </xf>
    <xf numFmtId="0" fontId="9" fillId="50" borderId="10" xfId="47" applyFont="1" applyFill="1" applyBorder="1" applyAlignment="1">
      <alignment horizontal="center" vertical="top" wrapText="1"/>
    </xf>
    <xf numFmtId="2" fontId="6" fillId="50" borderId="13" xfId="47" applyNumberFormat="1" applyFont="1" applyFill="1" applyBorder="1" applyAlignment="1">
      <alignment vertical="center"/>
    </xf>
    <xf numFmtId="0" fontId="6" fillId="50" borderId="18" xfId="47" applyFont="1" applyFill="1" applyBorder="1" applyAlignment="1">
      <alignment horizontal="center"/>
    </xf>
    <xf numFmtId="2" fontId="6" fillId="50" borderId="18" xfId="47" applyNumberFormat="1" applyFont="1" applyFill="1" applyBorder="1"/>
    <xf numFmtId="2" fontId="6" fillId="50" borderId="26" xfId="47" applyNumberFormat="1" applyFont="1" applyFill="1" applyBorder="1"/>
    <xf numFmtId="0" fontId="6" fillId="50" borderId="26" xfId="47" applyFont="1" applyFill="1" applyBorder="1" applyAlignment="1">
      <alignment horizontal="center"/>
    </xf>
    <xf numFmtId="2" fontId="6" fillId="50" borderId="12" xfId="47" applyNumberFormat="1" applyFont="1" applyFill="1" applyBorder="1" applyAlignment="1">
      <alignment horizontal="center"/>
    </xf>
    <xf numFmtId="0" fontId="51" fillId="29" borderId="0" xfId="47" applyFont="1" applyFill="1"/>
    <xf numFmtId="0" fontId="1" fillId="29" borderId="0" xfId="47" applyFill="1"/>
    <xf numFmtId="0" fontId="54" fillId="29" borderId="0" xfId="47" applyFont="1" applyFill="1" applyBorder="1"/>
    <xf numFmtId="0" fontId="55" fillId="29" borderId="0" xfId="47" applyFont="1" applyFill="1" applyBorder="1"/>
    <xf numFmtId="0" fontId="54" fillId="29" borderId="0" xfId="47" applyFont="1" applyFill="1" applyBorder="1" applyAlignment="1">
      <alignment horizontal="center"/>
    </xf>
    <xf numFmtId="49" fontId="55" fillId="29" borderId="0" xfId="47" applyNumberFormat="1" applyFont="1" applyFill="1" applyBorder="1" applyAlignment="1">
      <alignment horizontal="center" wrapText="1"/>
    </xf>
    <xf numFmtId="0" fontId="51" fillId="51" borderId="0" xfId="47" applyFont="1" applyFill="1" applyAlignment="1">
      <alignment horizontal="center"/>
    </xf>
    <xf numFmtId="0" fontId="59" fillId="51" borderId="23" xfId="47" applyFont="1" applyFill="1" applyBorder="1" applyAlignment="1">
      <alignment horizontal="center"/>
    </xf>
    <xf numFmtId="0" fontId="59" fillId="51" borderId="24" xfId="47" applyFont="1" applyFill="1" applyBorder="1" applyAlignment="1">
      <alignment horizontal="center"/>
    </xf>
    <xf numFmtId="0" fontId="59" fillId="51" borderId="27" xfId="47" applyFont="1" applyFill="1" applyBorder="1" applyAlignment="1">
      <alignment horizontal="center"/>
    </xf>
    <xf numFmtId="0" fontId="59" fillId="51" borderId="25" xfId="47" applyFont="1" applyFill="1" applyBorder="1" applyAlignment="1">
      <alignment horizontal="center"/>
    </xf>
    <xf numFmtId="0" fontId="51" fillId="0" borderId="0" xfId="47" applyFont="1" applyAlignment="1">
      <alignment horizontal="center"/>
    </xf>
    <xf numFmtId="0" fontId="1" fillId="0" borderId="0" xfId="47" applyAlignment="1">
      <alignment horizontal="center"/>
    </xf>
    <xf numFmtId="0" fontId="60" fillId="0" borderId="0" xfId="47" applyFont="1" applyFill="1" applyBorder="1" applyAlignment="1">
      <alignment horizontal="left" vertical="top" wrapText="1"/>
    </xf>
    <xf numFmtId="0" fontId="59" fillId="0" borderId="0" xfId="47" applyFont="1"/>
    <xf numFmtId="0" fontId="59" fillId="46" borderId="27" xfId="47" applyFont="1" applyFill="1" applyBorder="1"/>
    <xf numFmtId="2" fontId="59" fillId="46" borderId="25" xfId="47" applyNumberFormat="1" applyFont="1" applyFill="1" applyBorder="1"/>
    <xf numFmtId="0" fontId="59" fillId="47" borderId="27" xfId="47" applyFont="1" applyFill="1" applyBorder="1"/>
    <xf numFmtId="2" fontId="59" fillId="47" borderId="25" xfId="47" applyNumberFormat="1" applyFont="1" applyFill="1" applyBorder="1"/>
    <xf numFmtId="0" fontId="59" fillId="30" borderId="27" xfId="47" applyFont="1" applyFill="1" applyBorder="1"/>
    <xf numFmtId="2" fontId="59" fillId="30" borderId="25" xfId="47" applyNumberFormat="1" applyFont="1" applyFill="1" applyBorder="1"/>
    <xf numFmtId="0" fontId="61" fillId="0" borderId="0" xfId="47" applyFont="1"/>
    <xf numFmtId="0" fontId="59" fillId="46" borderId="25" xfId="47" applyFont="1" applyFill="1" applyBorder="1"/>
    <xf numFmtId="0" fontId="59" fillId="47" borderId="25" xfId="47" applyFont="1" applyFill="1" applyBorder="1"/>
    <xf numFmtId="0" fontId="59" fillId="30" borderId="25" xfId="47" applyFont="1" applyFill="1" applyBorder="1"/>
    <xf numFmtId="0" fontId="59" fillId="46" borderId="28" xfId="47" applyFont="1" applyFill="1" applyBorder="1"/>
    <xf numFmtId="0" fontId="59" fillId="46" borderId="30" xfId="47" applyFont="1" applyFill="1" applyBorder="1"/>
    <xf numFmtId="0" fontId="59" fillId="47" borderId="28" xfId="47" applyFont="1" applyFill="1" applyBorder="1"/>
    <xf numFmtId="0" fontId="59" fillId="47" borderId="30" xfId="47" applyFont="1" applyFill="1" applyBorder="1"/>
    <xf numFmtId="0" fontId="59" fillId="30" borderId="28" xfId="47" applyFont="1" applyFill="1" applyBorder="1"/>
    <xf numFmtId="0" fontId="59" fillId="30" borderId="30" xfId="47" applyFont="1" applyFill="1" applyBorder="1"/>
    <xf numFmtId="0" fontId="62" fillId="52" borderId="0" xfId="47" applyFont="1" applyFill="1"/>
    <xf numFmtId="0" fontId="62" fillId="0" borderId="0" xfId="47" applyFont="1"/>
    <xf numFmtId="0" fontId="63" fillId="0" borderId="0" xfId="47" applyFont="1"/>
    <xf numFmtId="2" fontId="0" fillId="0" borderId="0" xfId="0" applyNumberFormat="1" applyFill="1" applyBorder="1" applyAlignment="1">
      <alignment horizontal="center"/>
    </xf>
    <xf numFmtId="0" fontId="0" fillId="0" borderId="15" xfId="0" applyFill="1" applyBorder="1"/>
    <xf numFmtId="0" fontId="0" fillId="30" borderId="15" xfId="0" applyFill="1" applyBorder="1"/>
    <xf numFmtId="0" fontId="0" fillId="0" borderId="10" xfId="0" applyFill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0" fontId="0" fillId="37" borderId="13" xfId="0" applyFill="1" applyBorder="1" applyAlignment="1"/>
    <xf numFmtId="0" fontId="0" fillId="37" borderId="18" xfId="0" applyFill="1" applyBorder="1" applyAlignment="1"/>
    <xf numFmtId="0" fontId="0" fillId="37" borderId="12" xfId="0" applyFill="1" applyBorder="1" applyAlignment="1"/>
    <xf numFmtId="0" fontId="9" fillId="35" borderId="13" xfId="0" applyFont="1" applyFill="1" applyBorder="1" applyAlignment="1">
      <alignment wrapText="1"/>
    </xf>
    <xf numFmtId="0" fontId="9" fillId="35" borderId="18" xfId="0" applyFont="1" applyFill="1" applyBorder="1" applyAlignment="1">
      <alignment wrapText="1"/>
    </xf>
    <xf numFmtId="0" fontId="9" fillId="35" borderId="12" xfId="0" applyFont="1" applyFill="1" applyBorder="1" applyAlignment="1">
      <alignment wrapText="1"/>
    </xf>
    <xf numFmtId="0" fontId="0" fillId="30" borderId="14" xfId="0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9" fillId="30" borderId="14" xfId="0" applyFont="1" applyFill="1" applyBorder="1" applyAlignment="1">
      <alignment horizontal="center" vertical="center"/>
    </xf>
    <xf numFmtId="0" fontId="0" fillId="30" borderId="16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30" borderId="14" xfId="0" applyFill="1" applyBorder="1" applyAlignment="1">
      <alignment horizontal="center"/>
    </xf>
    <xf numFmtId="0" fontId="0" fillId="30" borderId="10" xfId="0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9" fillId="2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/>
    </xf>
    <xf numFmtId="0" fontId="9" fillId="30" borderId="15" xfId="0" applyFont="1" applyFill="1" applyBorder="1" applyAlignment="1">
      <alignment horizontal="right"/>
    </xf>
    <xf numFmtId="46" fontId="9" fillId="30" borderId="0" xfId="0" applyNumberFormat="1" applyFont="1" applyFill="1"/>
    <xf numFmtId="46" fontId="9" fillId="30" borderId="10" xfId="0" applyNumberFormat="1" applyFont="1" applyFill="1" applyBorder="1"/>
    <xf numFmtId="0" fontId="0" fillId="40" borderId="10" xfId="0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2" fontId="6" fillId="0" borderId="10" xfId="0" applyNumberFormat="1" applyFont="1" applyFill="1" applyBorder="1"/>
    <xf numFmtId="2" fontId="0" fillId="53" borderId="10" xfId="0" applyNumberFormat="1" applyFill="1" applyBorder="1"/>
    <xf numFmtId="1" fontId="0" fillId="53" borderId="10" xfId="0" applyNumberFormat="1" applyFill="1" applyBorder="1" applyAlignment="1">
      <alignment horizontal="center"/>
    </xf>
    <xf numFmtId="43" fontId="0" fillId="53" borderId="10" xfId="0" applyNumberFormat="1" applyFill="1" applyBorder="1"/>
    <xf numFmtId="0" fontId="0" fillId="53" borderId="10" xfId="0" applyFill="1" applyBorder="1" applyAlignment="1">
      <alignment horizontal="center"/>
    </xf>
    <xf numFmtId="0" fontId="9" fillId="40" borderId="10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left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9" fillId="40" borderId="14" xfId="0" applyFont="1" applyFill="1" applyBorder="1" applyAlignment="1">
      <alignment horizontal="center" vertical="center" wrapText="1"/>
    </xf>
    <xf numFmtId="0" fontId="12" fillId="53" borderId="10" xfId="0" applyFont="1" applyFill="1" applyBorder="1"/>
    <xf numFmtId="167" fontId="0" fillId="53" borderId="10" xfId="33" applyNumberFormat="1" applyFont="1" applyFill="1" applyBorder="1"/>
    <xf numFmtId="43" fontId="0" fillId="53" borderId="10" xfId="33" applyFont="1" applyFill="1" applyBorder="1"/>
    <xf numFmtId="43" fontId="9" fillId="53" borderId="10" xfId="0" applyNumberFormat="1" applyFont="1" applyFill="1" applyBorder="1" applyAlignment="1">
      <alignment horizontal="center"/>
    </xf>
    <xf numFmtId="0" fontId="9" fillId="40" borderId="12" xfId="0" applyFont="1" applyFill="1" applyBorder="1" applyAlignment="1">
      <alignment wrapText="1"/>
    </xf>
    <xf numFmtId="0" fontId="6" fillId="40" borderId="10" xfId="0" applyFont="1" applyFill="1" applyBorder="1" applyAlignment="1">
      <alignment horizontal="center" vertical="center" wrapText="1"/>
    </xf>
    <xf numFmtId="0" fontId="9" fillId="30" borderId="12" xfId="0" applyFont="1" applyFill="1" applyBorder="1" applyAlignment="1">
      <alignment wrapText="1"/>
    </xf>
    <xf numFmtId="0" fontId="39" fillId="0" borderId="12" xfId="0" applyFont="1" applyFill="1" applyBorder="1"/>
    <xf numFmtId="0" fontId="0" fillId="30" borderId="10" xfId="0" applyFill="1" applyBorder="1" applyAlignment="1">
      <alignment horizontal="center"/>
    </xf>
    <xf numFmtId="0" fontId="37" fillId="0" borderId="0" xfId="0" applyFont="1" applyAlignment="1"/>
    <xf numFmtId="0" fontId="0" fillId="0" borderId="0" xfId="0" applyAlignment="1"/>
    <xf numFmtId="0" fontId="0" fillId="26" borderId="10" xfId="0" applyFill="1" applyBorder="1" applyAlignment="1">
      <alignment horizontal="left"/>
    </xf>
    <xf numFmtId="170" fontId="9" fillId="26" borderId="10" xfId="0" applyNumberFormat="1" applyFont="1" applyFill="1" applyBorder="1" applyAlignment="1">
      <alignment horizontal="center" vertical="center" wrapText="1"/>
    </xf>
    <xf numFmtId="44" fontId="0" fillId="0" borderId="0" xfId="44" applyFont="1" applyFill="1"/>
    <xf numFmtId="44" fontId="0" fillId="0" borderId="10" xfId="44" applyFont="1" applyBorder="1" applyAlignment="1"/>
    <xf numFmtId="0" fontId="0" fillId="38" borderId="18" xfId="0" applyFill="1" applyBorder="1"/>
    <xf numFmtId="0" fontId="0" fillId="38" borderId="12" xfId="0" applyFill="1" applyBorder="1"/>
    <xf numFmtId="0" fontId="5" fillId="38" borderId="10" xfId="0" applyFont="1" applyFill="1" applyBorder="1"/>
    <xf numFmtId="43" fontId="0" fillId="0" borderId="18" xfId="0" applyNumberFormat="1" applyBorder="1" applyAlignment="1"/>
    <xf numFmtId="43" fontId="0" fillId="0" borderId="12" xfId="0" applyNumberFormat="1" applyBorder="1" applyAlignment="1"/>
    <xf numFmtId="0" fontId="5" fillId="38" borderId="14" xfId="0" applyFont="1" applyFill="1" applyBorder="1"/>
    <xf numFmtId="0" fontId="0" fillId="38" borderId="26" xfId="0" applyFill="1" applyBorder="1"/>
    <xf numFmtId="0" fontId="0" fillId="38" borderId="24" xfId="0" applyFill="1" applyBorder="1"/>
    <xf numFmtId="167" fontId="0" fillId="38" borderId="14" xfId="0" applyNumberFormat="1" applyFill="1" applyBorder="1"/>
    <xf numFmtId="0" fontId="6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167" fontId="4" fillId="0" borderId="10" xfId="33" applyNumberFormat="1" applyFont="1" applyFill="1" applyBorder="1"/>
    <xf numFmtId="167" fontId="0" fillId="0" borderId="10" xfId="0" applyNumberFormat="1" applyBorder="1"/>
    <xf numFmtId="167" fontId="0" fillId="0" borderId="10" xfId="0" applyNumberFormat="1" applyFill="1" applyBorder="1" applyAlignment="1">
      <alignment horizontal="center"/>
    </xf>
    <xf numFmtId="167" fontId="0" fillId="53" borderId="10" xfId="0" applyNumberFormat="1" applyFill="1" applyBorder="1" applyAlignment="1">
      <alignment horizontal="center"/>
    </xf>
    <xf numFmtId="167" fontId="0" fillId="53" borderId="10" xfId="0" applyNumberFormat="1" applyFill="1" applyBorder="1"/>
    <xf numFmtId="0" fontId="4" fillId="0" borderId="0" xfId="0" applyFont="1"/>
    <xf numFmtId="44" fontId="64" fillId="0" borderId="10" xfId="31" applyFont="1" applyBorder="1"/>
    <xf numFmtId="43" fontId="64" fillId="0" borderId="10" xfId="33" applyFont="1" applyBorder="1"/>
    <xf numFmtId="43" fontId="64" fillId="0" borderId="10" xfId="33" applyFont="1" applyBorder="1" applyAlignment="1">
      <alignment horizontal="center"/>
    </xf>
    <xf numFmtId="1" fontId="64" fillId="0" borderId="10" xfId="0" applyNumberFormat="1" applyFont="1" applyBorder="1" applyAlignment="1">
      <alignment horizontal="center"/>
    </xf>
    <xf numFmtId="166" fontId="64" fillId="0" borderId="10" xfId="0" applyNumberFormat="1" applyFont="1" applyBorder="1" applyAlignment="1">
      <alignment horizontal="center"/>
    </xf>
    <xf numFmtId="0" fontId="0" fillId="31" borderId="10" xfId="0" applyFill="1" applyBorder="1"/>
    <xf numFmtId="44" fontId="0" fillId="31" borderId="10" xfId="31" applyFont="1" applyFill="1" applyBorder="1"/>
    <xf numFmtId="43" fontId="0" fillId="31" borderId="10" xfId="33" applyFont="1" applyFill="1" applyBorder="1"/>
    <xf numFmtId="43" fontId="0" fillId="31" borderId="10" xfId="33" applyFont="1" applyFill="1" applyBorder="1" applyAlignment="1">
      <alignment horizontal="center"/>
    </xf>
    <xf numFmtId="1" fontId="5" fillId="31" borderId="10" xfId="0" applyNumberFormat="1" applyFont="1" applyFill="1" applyBorder="1" applyAlignment="1">
      <alignment horizontal="center"/>
    </xf>
    <xf numFmtId="166" fontId="0" fillId="31" borderId="10" xfId="0" applyNumberForma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9" fillId="26" borderId="10" xfId="0" applyNumberFormat="1" applyFont="1" applyFill="1" applyBorder="1" applyAlignment="1">
      <alignment horizontal="center" vertical="center" wrapText="1"/>
    </xf>
    <xf numFmtId="2" fontId="9" fillId="26" borderId="16" xfId="0" applyNumberFormat="1" applyFont="1" applyFill="1" applyBorder="1" applyAlignment="1">
      <alignment horizontal="center" vertical="center" wrapText="1"/>
    </xf>
    <xf numFmtId="2" fontId="9" fillId="26" borderId="14" xfId="0" applyNumberFormat="1" applyFont="1" applyFill="1" applyBorder="1" applyAlignment="1">
      <alignment horizontal="center" vertical="center" wrapText="1"/>
    </xf>
    <xf numFmtId="2" fontId="9" fillId="26" borderId="13" xfId="0" applyNumberFormat="1" applyFont="1" applyFill="1" applyBorder="1" applyAlignment="1">
      <alignment horizontal="center" vertical="center" wrapText="1"/>
    </xf>
    <xf numFmtId="2" fontId="9" fillId="26" borderId="18" xfId="0" applyNumberFormat="1" applyFont="1" applyFill="1" applyBorder="1" applyAlignment="1">
      <alignment horizontal="center" vertical="center" wrapText="1"/>
    </xf>
    <xf numFmtId="2" fontId="9" fillId="26" borderId="12" xfId="0" applyNumberFormat="1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vertical="top" wrapText="1"/>
    </xf>
    <xf numFmtId="0" fontId="12" fillId="40" borderId="14" xfId="0" applyFont="1" applyFill="1" applyBorder="1" applyAlignment="1">
      <alignment horizontal="left" vertical="center" wrapText="1"/>
    </xf>
    <xf numFmtId="0" fontId="12" fillId="40" borderId="1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2" fontId="9" fillId="40" borderId="14" xfId="0" applyNumberFormat="1" applyFont="1" applyFill="1" applyBorder="1" applyAlignment="1">
      <alignment horizontal="center" vertical="center" wrapText="1"/>
    </xf>
    <xf numFmtId="2" fontId="9" fillId="40" borderId="16" xfId="0" applyNumberFormat="1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9" fillId="40" borderId="13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16" xfId="0" applyFont="1" applyFill="1" applyBorder="1" applyAlignment="1">
      <alignment horizontal="center" vertical="center" wrapText="1"/>
    </xf>
    <xf numFmtId="0" fontId="9" fillId="40" borderId="14" xfId="0" applyFont="1" applyFill="1" applyBorder="1" applyAlignment="1">
      <alignment horizontal="center" vertical="center" wrapText="1"/>
    </xf>
    <xf numFmtId="0" fontId="9" fillId="40" borderId="16" xfId="0" applyFont="1" applyFill="1" applyBorder="1" applyAlignment="1">
      <alignment horizontal="center" vertical="center" wrapText="1"/>
    </xf>
    <xf numFmtId="0" fontId="0" fillId="30" borderId="14" xfId="0" applyFill="1" applyBorder="1" applyAlignment="1">
      <alignment horizontal="center" vertical="center"/>
    </xf>
    <xf numFmtId="0" fontId="0" fillId="30" borderId="15" xfId="0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1" fontId="0" fillId="0" borderId="14" xfId="33" applyNumberFormat="1" applyFont="1" applyFill="1" applyBorder="1" applyAlignment="1">
      <alignment horizontal="center" vertical="center"/>
    </xf>
    <xf numFmtId="41" fontId="0" fillId="0" borderId="15" xfId="33" applyNumberFormat="1" applyFont="1" applyFill="1" applyBorder="1" applyAlignment="1">
      <alignment horizontal="center" vertical="center"/>
    </xf>
    <xf numFmtId="41" fontId="0" fillId="0" borderId="16" xfId="33" applyNumberFormat="1" applyFont="1" applyFill="1" applyBorder="1" applyAlignment="1">
      <alignment horizontal="center" vertical="center"/>
    </xf>
    <xf numFmtId="0" fontId="9" fillId="30" borderId="14" xfId="0" applyFont="1" applyFill="1" applyBorder="1" applyAlignment="1">
      <alignment horizontal="center" vertical="center"/>
    </xf>
    <xf numFmtId="0" fontId="9" fillId="30" borderId="16" xfId="0" applyFont="1" applyFill="1" applyBorder="1" applyAlignment="1">
      <alignment horizontal="center" vertical="center"/>
    </xf>
    <xf numFmtId="0" fontId="9" fillId="30" borderId="15" xfId="0" applyFont="1" applyFill="1" applyBorder="1" applyAlignment="1">
      <alignment horizontal="center" vertical="center"/>
    </xf>
    <xf numFmtId="0" fontId="0" fillId="30" borderId="15" xfId="0" applyFill="1" applyBorder="1"/>
    <xf numFmtId="0" fontId="0" fillId="30" borderId="16" xfId="0" applyFill="1" applyBorder="1"/>
    <xf numFmtId="0" fontId="0" fillId="0" borderId="15" xfId="0" applyFill="1" applyBorder="1"/>
    <xf numFmtId="0" fontId="0" fillId="0" borderId="16" xfId="0" applyFill="1" applyBorder="1"/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0" fillId="30" borderId="15" xfId="0" applyFill="1" applyBorder="1" applyAlignment="1">
      <alignment horizontal="center"/>
    </xf>
    <xf numFmtId="0" fontId="0" fillId="30" borderId="16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0" fillId="35" borderId="18" xfId="0" applyFill="1" applyBorder="1"/>
    <xf numFmtId="0" fontId="0" fillId="35" borderId="12" xfId="0" applyFill="1" applyBorder="1"/>
    <xf numFmtId="0" fontId="12" fillId="40" borderId="13" xfId="0" applyFont="1" applyFill="1" applyBorder="1" applyAlignment="1">
      <alignment horizontal="center" wrapText="1"/>
    </xf>
    <xf numFmtId="0" fontId="0" fillId="40" borderId="18" xfId="0" applyFill="1" applyBorder="1"/>
    <xf numFmtId="0" fontId="0" fillId="40" borderId="12" xfId="0" applyFill="1" applyBorder="1"/>
    <xf numFmtId="0" fontId="12" fillId="35" borderId="18" xfId="0" applyFont="1" applyFill="1" applyBorder="1" applyAlignment="1">
      <alignment horizontal="center" vertical="top" wrapText="1"/>
    </xf>
    <xf numFmtId="0" fontId="12" fillId="35" borderId="12" xfId="0" applyFont="1" applyFill="1" applyBorder="1" applyAlignment="1">
      <alignment horizontal="center" vertical="top" wrapText="1"/>
    </xf>
    <xf numFmtId="0" fontId="12" fillId="40" borderId="18" xfId="0" applyFont="1" applyFill="1" applyBorder="1" applyAlignment="1">
      <alignment horizontal="center" wrapText="1"/>
    </xf>
    <xf numFmtId="0" fontId="12" fillId="40" borderId="12" xfId="0" applyFont="1" applyFill="1" applyBorder="1" applyAlignment="1">
      <alignment horizont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43" fontId="0" fillId="0" borderId="13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43" fontId="0" fillId="0" borderId="12" xfId="0" applyNumberFormat="1" applyBorder="1" applyAlignment="1">
      <alignment horizontal="right"/>
    </xf>
    <xf numFmtId="43" fontId="0" fillId="0" borderId="13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5" xfId="0" applyFill="1" applyBorder="1"/>
    <xf numFmtId="0" fontId="0" fillId="24" borderId="16" xfId="0" applyFill="1" applyBorder="1"/>
    <xf numFmtId="0" fontId="0" fillId="24" borderId="16" xfId="0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26" borderId="13" xfId="0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0" fillId="29" borderId="14" xfId="0" applyFill="1" applyBorder="1" applyAlignment="1">
      <alignment horizontal="center" vertical="center"/>
    </xf>
    <xf numFmtId="0" fontId="0" fillId="29" borderId="15" xfId="0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0" fillId="29" borderId="16" xfId="0" applyFill="1" applyBorder="1" applyAlignment="1">
      <alignment horizontal="center" vertical="center"/>
    </xf>
    <xf numFmtId="44" fontId="6" fillId="0" borderId="0" xfId="31" applyFont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0" fontId="9" fillId="40" borderId="10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0" borderId="14" xfId="0" applyFill="1" applyBorder="1" applyAlignment="1">
      <alignment horizontal="center"/>
    </xf>
    <xf numFmtId="0" fontId="0" fillId="26" borderId="13" xfId="0" applyFill="1" applyBorder="1" applyAlignment="1">
      <alignment horizontal="center" wrapText="1"/>
    </xf>
    <xf numFmtId="0" fontId="0" fillId="26" borderId="12" xfId="0" applyFill="1" applyBorder="1" applyAlignment="1">
      <alignment horizontal="center" wrapText="1"/>
    </xf>
    <xf numFmtId="0" fontId="9" fillId="24" borderId="14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2" fontId="9" fillId="37" borderId="14" xfId="0" applyNumberFormat="1" applyFont="1" applyFill="1" applyBorder="1" applyAlignment="1">
      <alignment horizontal="center" vertical="center" wrapText="1"/>
    </xf>
    <xf numFmtId="2" fontId="9" fillId="37" borderId="16" xfId="0" applyNumberFormat="1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9" fillId="37" borderId="26" xfId="0" applyFont="1" applyFill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left"/>
    </xf>
    <xf numFmtId="0" fontId="0" fillId="37" borderId="12" xfId="0" applyFill="1" applyBorder="1" applyAlignment="1">
      <alignment horizontal="left"/>
    </xf>
    <xf numFmtId="0" fontId="9" fillId="35" borderId="14" xfId="0" applyFont="1" applyFill="1" applyBorder="1" applyAlignment="1">
      <alignment horizontal="center" wrapText="1"/>
    </xf>
    <xf numFmtId="0" fontId="9" fillId="35" borderId="16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9" fillId="24" borderId="10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9" fillId="41" borderId="13" xfId="0" applyFont="1" applyFill="1" applyBorder="1" applyAlignment="1">
      <alignment horizontal="left"/>
    </xf>
    <xf numFmtId="0" fontId="9" fillId="41" borderId="18" xfId="0" applyFont="1" applyFill="1" applyBorder="1" applyAlignment="1">
      <alignment horizontal="left"/>
    </xf>
    <xf numFmtId="0" fontId="9" fillId="41" borderId="12" xfId="0" applyFont="1" applyFill="1" applyBorder="1" applyAlignment="1">
      <alignment horizontal="left"/>
    </xf>
    <xf numFmtId="0" fontId="0" fillId="40" borderId="13" xfId="0" applyFill="1" applyBorder="1" applyAlignment="1">
      <alignment horizontal="center" wrapText="1"/>
    </xf>
    <xf numFmtId="0" fontId="0" fillId="40" borderId="12" xfId="0" applyFill="1" applyBorder="1" applyAlignment="1">
      <alignment horizontal="center" wrapText="1"/>
    </xf>
    <xf numFmtId="43" fontId="0" fillId="41" borderId="13" xfId="33" applyFont="1" applyFill="1" applyBorder="1" applyAlignment="1">
      <alignment horizontal="center"/>
    </xf>
    <xf numFmtId="43" fontId="0" fillId="41" borderId="12" xfId="33" applyFont="1" applyFill="1" applyBorder="1" applyAlignment="1">
      <alignment horizontal="center"/>
    </xf>
    <xf numFmtId="43" fontId="0" fillId="41" borderId="10" xfId="0" applyNumberFormat="1" applyFill="1" applyBorder="1" applyAlignment="1">
      <alignment horizontal="center"/>
    </xf>
    <xf numFmtId="43" fontId="6" fillId="40" borderId="10" xfId="0" applyNumberFormat="1" applyFont="1" applyFill="1" applyBorder="1" applyAlignment="1">
      <alignment horizontal="center"/>
    </xf>
    <xf numFmtId="0" fontId="6" fillId="40" borderId="13" xfId="0" applyFont="1" applyFill="1" applyBorder="1" applyAlignment="1">
      <alignment horizontal="left"/>
    </xf>
    <xf numFmtId="0" fontId="6" fillId="40" borderId="18" xfId="0" applyFont="1" applyFill="1" applyBorder="1" applyAlignment="1">
      <alignment horizontal="left"/>
    </xf>
    <xf numFmtId="0" fontId="6" fillId="40" borderId="12" xfId="0" applyFont="1" applyFill="1" applyBorder="1" applyAlignment="1">
      <alignment horizontal="left"/>
    </xf>
    <xf numFmtId="1" fontId="9" fillId="30" borderId="14" xfId="0" applyNumberFormat="1" applyFont="1" applyFill="1" applyBorder="1" applyAlignment="1">
      <alignment horizontal="center" vertical="center"/>
    </xf>
    <xf numFmtId="1" fontId="9" fillId="30" borderId="15" xfId="0" applyNumberFormat="1" applyFont="1" applyFill="1" applyBorder="1" applyAlignment="1">
      <alignment horizontal="center" vertical="center"/>
    </xf>
    <xf numFmtId="1" fontId="9" fillId="30" borderId="16" xfId="0" applyNumberFormat="1" applyFont="1" applyFill="1" applyBorder="1" applyAlignment="1">
      <alignment horizontal="center" vertical="center"/>
    </xf>
    <xf numFmtId="168" fontId="9" fillId="30" borderId="14" xfId="0" applyNumberFormat="1" applyFont="1" applyFill="1" applyBorder="1" applyAlignment="1">
      <alignment horizontal="center" vertical="center"/>
    </xf>
    <xf numFmtId="168" fontId="9" fillId="30" borderId="16" xfId="0" applyNumberFormat="1" applyFont="1" applyFill="1" applyBorder="1" applyAlignment="1">
      <alignment horizontal="center" vertical="center"/>
    </xf>
    <xf numFmtId="168" fontId="9" fillId="0" borderId="14" xfId="0" applyNumberFormat="1" applyFont="1" applyFill="1" applyBorder="1" applyAlignment="1">
      <alignment horizontal="center" vertical="center"/>
    </xf>
    <xf numFmtId="168" fontId="9" fillId="0" borderId="16" xfId="0" applyNumberFormat="1" applyFont="1" applyFill="1" applyBorder="1" applyAlignment="1">
      <alignment horizontal="center" vertical="center"/>
    </xf>
    <xf numFmtId="2" fontId="9" fillId="30" borderId="14" xfId="0" applyNumberFormat="1" applyFont="1" applyFill="1" applyBorder="1" applyAlignment="1">
      <alignment horizontal="center" vertical="center"/>
    </xf>
    <xf numFmtId="2" fontId="9" fillId="30" borderId="15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168" fontId="9" fillId="0" borderId="15" xfId="0" applyNumberFormat="1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wrapText="1"/>
    </xf>
    <xf numFmtId="0" fontId="6" fillId="40" borderId="12" xfId="0" applyFont="1" applyFill="1" applyBorder="1" applyAlignment="1">
      <alignment horizontal="center" wrapText="1"/>
    </xf>
    <xf numFmtId="169" fontId="9" fillId="0" borderId="14" xfId="33" applyNumberFormat="1" applyFont="1" applyFill="1" applyBorder="1" applyAlignment="1">
      <alignment horizontal="center" vertical="center"/>
    </xf>
    <xf numFmtId="169" fontId="9" fillId="0" borderId="15" xfId="33" applyNumberFormat="1" applyFont="1" applyFill="1" applyBorder="1" applyAlignment="1">
      <alignment horizontal="center" vertical="center"/>
    </xf>
    <xf numFmtId="169" fontId="9" fillId="0" borderId="16" xfId="33" applyNumberFormat="1" applyFont="1" applyFill="1" applyBorder="1" applyAlignment="1">
      <alignment horizontal="center" vertical="center"/>
    </xf>
    <xf numFmtId="43" fontId="9" fillId="0" borderId="14" xfId="33" applyFont="1" applyFill="1" applyBorder="1" applyAlignment="1">
      <alignment horizontal="center" vertical="center"/>
    </xf>
    <xf numFmtId="43" fontId="9" fillId="0" borderId="15" xfId="33" applyFont="1" applyFill="1" applyBorder="1" applyAlignment="1">
      <alignment horizontal="center" vertical="center"/>
    </xf>
    <xf numFmtId="43" fontId="9" fillId="0" borderId="16" xfId="33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wrapText="1"/>
    </xf>
    <xf numFmtId="168" fontId="9" fillId="24" borderId="14" xfId="0" applyNumberFormat="1" applyFont="1" applyFill="1" applyBorder="1" applyAlignment="1">
      <alignment horizontal="center" vertical="center"/>
    </xf>
    <xf numFmtId="168" fontId="9" fillId="24" borderId="15" xfId="0" applyNumberFormat="1" applyFont="1" applyFill="1" applyBorder="1" applyAlignment="1">
      <alignment horizontal="center" vertical="center"/>
    </xf>
    <xf numFmtId="168" fontId="9" fillId="24" borderId="16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wrapText="1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68" fontId="9" fillId="30" borderId="15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7" fillId="0" borderId="0" xfId="0" applyFont="1" applyAlignment="1">
      <alignment horizontal="left"/>
    </xf>
    <xf numFmtId="0" fontId="9" fillId="29" borderId="26" xfId="47" applyFont="1" applyFill="1" applyBorder="1" applyAlignment="1">
      <alignment vertical="center" wrapText="1"/>
    </xf>
    <xf numFmtId="0" fontId="9" fillId="29" borderId="29" xfId="47" applyFont="1" applyFill="1" applyBorder="1" applyAlignment="1">
      <alignment vertical="center" wrapText="1"/>
    </xf>
    <xf numFmtId="0" fontId="9" fillId="42" borderId="14" xfId="47" applyFont="1" applyFill="1" applyBorder="1" applyAlignment="1">
      <alignment horizontal="center" vertical="center" wrapText="1"/>
    </xf>
    <xf numFmtId="0" fontId="9" fillId="26" borderId="14" xfId="47" applyFont="1" applyFill="1" applyBorder="1" applyAlignment="1">
      <alignment horizontal="center" vertical="center" wrapText="1"/>
    </xf>
    <xf numFmtId="0" fontId="9" fillId="24" borderId="13" xfId="47" applyFont="1" applyFill="1" applyBorder="1" applyAlignment="1">
      <alignment horizontal="center" vertical="center" wrapText="1"/>
    </xf>
    <xf numFmtId="0" fontId="1" fillId="24" borderId="12" xfId="47" applyFill="1" applyBorder="1" applyAlignment="1">
      <alignment horizontal="center" vertical="center" wrapText="1"/>
    </xf>
    <xf numFmtId="0" fontId="51" fillId="0" borderId="24" xfId="47" applyFont="1" applyBorder="1" applyAlignment="1">
      <alignment horizontal="left" vertical="center" wrapText="1"/>
    </xf>
    <xf numFmtId="0" fontId="51" fillId="0" borderId="25" xfId="47" applyFont="1" applyBorder="1" applyAlignment="1">
      <alignment horizontal="left" vertical="center" wrapText="1"/>
    </xf>
    <xf numFmtId="0" fontId="51" fillId="0" borderId="30" xfId="47" applyFont="1" applyBorder="1" applyAlignment="1">
      <alignment horizontal="left" vertical="center" wrapText="1"/>
    </xf>
    <xf numFmtId="0" fontId="51" fillId="0" borderId="26" xfId="47" applyFont="1" applyBorder="1" applyAlignment="1">
      <alignment horizontal="left" vertical="center" wrapText="1"/>
    </xf>
    <xf numFmtId="0" fontId="51" fillId="0" borderId="29" xfId="47" applyFont="1" applyBorder="1" applyAlignment="1">
      <alignment horizontal="left" vertical="center" wrapText="1"/>
    </xf>
    <xf numFmtId="0" fontId="9" fillId="0" borderId="24" xfId="47" applyFont="1" applyBorder="1" applyAlignment="1">
      <alignment horizontal="left" vertical="center" wrapText="1"/>
    </xf>
    <xf numFmtId="0" fontId="9" fillId="0" borderId="25" xfId="47" applyFont="1" applyBorder="1" applyAlignment="1">
      <alignment horizontal="left" vertical="center" wrapText="1"/>
    </xf>
    <xf numFmtId="0" fontId="9" fillId="29" borderId="24" xfId="47" applyFont="1" applyFill="1" applyBorder="1" applyAlignment="1">
      <alignment vertical="center" wrapText="1"/>
    </xf>
    <xf numFmtId="0" fontId="9" fillId="29" borderId="30" xfId="47" applyFont="1" applyFill="1" applyBorder="1" applyAlignment="1">
      <alignment vertical="center" wrapText="1"/>
    </xf>
    <xf numFmtId="0" fontId="9" fillId="29" borderId="14" xfId="47" applyFont="1" applyFill="1" applyBorder="1" applyAlignment="1">
      <alignment vertical="center" wrapText="1"/>
    </xf>
    <xf numFmtId="0" fontId="9" fillId="29" borderId="16" xfId="47" applyFont="1" applyFill="1" applyBorder="1" applyAlignment="1">
      <alignment vertical="center" wrapText="1"/>
    </xf>
    <xf numFmtId="0" fontId="9" fillId="0" borderId="26" xfId="47" applyFont="1" applyBorder="1" applyAlignment="1">
      <alignment horizontal="left" vertical="center" wrapText="1"/>
    </xf>
    <xf numFmtId="0" fontId="9" fillId="0" borderId="0" xfId="47" applyFont="1" applyAlignment="1">
      <alignment horizontal="left" vertical="center" wrapText="1"/>
    </xf>
    <xf numFmtId="0" fontId="9" fillId="29" borderId="14" xfId="47" applyFont="1" applyFill="1" applyBorder="1" applyAlignment="1">
      <alignment horizontal="left" vertical="center"/>
    </xf>
    <xf numFmtId="0" fontId="9" fillId="29" borderId="16" xfId="47" applyFont="1" applyFill="1" applyBorder="1" applyAlignment="1">
      <alignment horizontal="left" vertical="center"/>
    </xf>
    <xf numFmtId="0" fontId="9" fillId="0" borderId="30" xfId="47" applyFont="1" applyBorder="1" applyAlignment="1">
      <alignment horizontal="left" vertical="center" wrapText="1"/>
    </xf>
    <xf numFmtId="0" fontId="9" fillId="29" borderId="14" xfId="47" applyFont="1" applyFill="1" applyBorder="1" applyAlignment="1">
      <alignment vertical="center"/>
    </xf>
    <xf numFmtId="0" fontId="9" fillId="29" borderId="16" xfId="47" applyFont="1" applyFill="1" applyBorder="1" applyAlignment="1">
      <alignment vertical="center"/>
    </xf>
    <xf numFmtId="0" fontId="51" fillId="0" borderId="25" xfId="47" applyFont="1" applyBorder="1" applyAlignment="1">
      <alignment vertical="center" wrapText="1"/>
    </xf>
    <xf numFmtId="0" fontId="9" fillId="0" borderId="25" xfId="47" applyFont="1" applyBorder="1" applyAlignment="1">
      <alignment vertical="center" wrapText="1"/>
    </xf>
    <xf numFmtId="0" fontId="51" fillId="0" borderId="30" xfId="47" applyFont="1" applyBorder="1" applyAlignment="1">
      <alignment vertical="center" wrapText="1"/>
    </xf>
    <xf numFmtId="0" fontId="9" fillId="0" borderId="10" xfId="47" applyFont="1" applyFill="1" applyBorder="1"/>
    <xf numFmtId="0" fontId="9" fillId="29" borderId="14" xfId="47" applyFont="1" applyFill="1" applyBorder="1" applyAlignment="1">
      <alignment horizontal="center" vertical="center"/>
    </xf>
    <xf numFmtId="0" fontId="9" fillId="29" borderId="16" xfId="47" applyFont="1" applyFill="1" applyBorder="1" applyAlignment="1">
      <alignment horizontal="center" vertical="center"/>
    </xf>
    <xf numFmtId="0" fontId="51" fillId="0" borderId="24" xfId="47" applyFont="1" applyBorder="1" applyAlignment="1">
      <alignment vertical="center" wrapText="1"/>
    </xf>
    <xf numFmtId="0" fontId="9" fillId="46" borderId="13" xfId="47" applyFont="1" applyFill="1" applyBorder="1" applyAlignment="1">
      <alignment horizontal="center" vertical="center" wrapText="1"/>
    </xf>
    <xf numFmtId="0" fontId="9" fillId="46" borderId="12" xfId="47" applyFont="1" applyFill="1" applyBorder="1" applyAlignment="1">
      <alignment horizontal="center" vertical="center" wrapText="1"/>
    </xf>
    <xf numFmtId="0" fontId="9" fillId="47" borderId="14" xfId="47" applyFont="1" applyFill="1" applyBorder="1" applyAlignment="1">
      <alignment horizontal="center" vertical="center" wrapText="1"/>
    </xf>
    <xf numFmtId="0" fontId="9" fillId="30" borderId="13" xfId="47" applyFont="1" applyFill="1" applyBorder="1" applyAlignment="1">
      <alignment horizontal="center" vertical="center" wrapText="1"/>
    </xf>
    <xf numFmtId="0" fontId="51" fillId="30" borderId="12" xfId="47" applyFont="1" applyFill="1" applyBorder="1" applyAlignment="1">
      <alignment horizontal="center" vertical="center" wrapText="1"/>
    </xf>
    <xf numFmtId="0" fontId="9" fillId="29" borderId="26" xfId="47" applyFont="1" applyFill="1" applyBorder="1" applyAlignment="1">
      <alignment horizontal="center"/>
    </xf>
    <xf numFmtId="0" fontId="9" fillId="29" borderId="24" xfId="47" applyFont="1" applyFill="1" applyBorder="1" applyAlignment="1">
      <alignment horizontal="center"/>
    </xf>
    <xf numFmtId="0" fontId="9" fillId="29" borderId="0" xfId="47" applyFont="1" applyFill="1" applyBorder="1" applyAlignment="1">
      <alignment horizontal="center"/>
    </xf>
    <xf numFmtId="0" fontId="9" fillId="29" borderId="25" xfId="47" applyFont="1" applyFill="1" applyBorder="1" applyAlignment="1">
      <alignment horizontal="center"/>
    </xf>
    <xf numFmtId="0" fontId="9" fillId="29" borderId="29" xfId="47" applyFont="1" applyFill="1" applyBorder="1" applyAlignment="1">
      <alignment horizontal="center"/>
    </xf>
    <xf numFmtId="0" fontId="9" fillId="29" borderId="30" xfId="47" applyFont="1" applyFill="1" applyBorder="1" applyAlignment="1">
      <alignment horizontal="center"/>
    </xf>
    <xf numFmtId="0" fontId="58" fillId="0" borderId="0" xfId="47" applyFont="1" applyAlignment="1">
      <alignment horizontal="center" vertical="center" wrapText="1"/>
    </xf>
    <xf numFmtId="0" fontId="9" fillId="0" borderId="10" xfId="47" applyFont="1" applyBorder="1" applyAlignment="1">
      <alignment horizontal="left" vertical="top" wrapText="1"/>
    </xf>
    <xf numFmtId="0" fontId="0" fillId="29" borderId="13" xfId="0" applyFill="1" applyBorder="1" applyAlignment="1">
      <alignment horizontal="left" vertical="center"/>
    </xf>
    <xf numFmtId="0" fontId="0" fillId="29" borderId="18" xfId="0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2" fontId="4" fillId="26" borderId="14" xfId="0" applyNumberFormat="1" applyFont="1" applyFill="1" applyBorder="1" applyAlignment="1">
      <alignment horizontal="center" vertical="center" wrapText="1"/>
    </xf>
    <xf numFmtId="2" fontId="4" fillId="26" borderId="16" xfId="0" applyNumberFormat="1" applyFont="1" applyFill="1" applyBorder="1" applyAlignment="1">
      <alignment horizontal="center" vertical="center" wrapText="1"/>
    </xf>
    <xf numFmtId="2" fontId="4" fillId="26" borderId="14" xfId="0" applyNumberFormat="1" applyFont="1" applyFill="1" applyBorder="1" applyAlignment="1">
      <alignment horizontal="left" vertical="center" wrapText="1"/>
    </xf>
    <xf numFmtId="2" fontId="4" fillId="26" borderId="16" xfId="0" applyNumberFormat="1" applyFont="1" applyFill="1" applyBorder="1" applyAlignment="1">
      <alignment horizontal="left" vertical="center" wrapText="1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48"/>
    <cellStyle name="Moneda" xfId="44" builtinId="4"/>
    <cellStyle name="Neutral" xfId="34" builtinId="28" customBuiltin="1"/>
    <cellStyle name="Normal" xfId="0" builtinId="0"/>
    <cellStyle name="Normal 2" xfId="45"/>
    <cellStyle name="Normal 2 2" xfId="46"/>
    <cellStyle name="Normal 2 2 2" xfId="47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6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95_11_Edificio%20de%20Gobier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Lote 1"/>
      <sheetName val="Lote 1 - Items"/>
      <sheetName val="Lote 2"/>
      <sheetName val="Lote 2 - Items"/>
      <sheetName val="Lote 3"/>
      <sheetName val="Lote 3 - Items"/>
      <sheetName val="Lote 4"/>
      <sheetName val="Lote 4 - Items"/>
      <sheetName val="Lote 5"/>
      <sheetName val="Lote 5 - Items"/>
      <sheetName val="Lote 6"/>
      <sheetName val="Lote 6 - Items"/>
      <sheetName val="Tablas"/>
      <sheetName val="Valoración"/>
      <sheetName val="Mejoras y Puntos Totales"/>
      <sheetName val="Muestras"/>
      <sheetName val="Hoja1"/>
      <sheetName val="Hoja2"/>
      <sheetName val="Hoja3"/>
      <sheetName val="Hoja4"/>
      <sheetName val="Hoja5"/>
    </sheetNames>
    <sheetDataSet>
      <sheetData sheetId="0">
        <row r="16">
          <cell r="H16">
            <v>27.884615384615383</v>
          </cell>
          <cell r="I16">
            <v>5</v>
          </cell>
        </row>
        <row r="17">
          <cell r="H17">
            <v>23.516025641025639</v>
          </cell>
          <cell r="I17">
            <v>7</v>
          </cell>
        </row>
        <row r="18">
          <cell r="H18">
            <v>84.99924449271829</v>
          </cell>
          <cell r="I18">
            <v>2</v>
          </cell>
        </row>
        <row r="19">
          <cell r="H19">
            <v>93.757554945054949</v>
          </cell>
          <cell r="I19">
            <v>1</v>
          </cell>
        </row>
        <row r="20">
          <cell r="H20">
            <v>74.527703525972782</v>
          </cell>
          <cell r="I20">
            <v>4</v>
          </cell>
        </row>
        <row r="21">
          <cell r="H21">
            <v>23.79029304029304</v>
          </cell>
          <cell r="I21">
            <v>6</v>
          </cell>
        </row>
        <row r="22">
          <cell r="H22">
            <v>76.057806738998565</v>
          </cell>
          <cell r="I22">
            <v>3</v>
          </cell>
        </row>
        <row r="32">
          <cell r="H32">
            <v>26.53445157004656</v>
          </cell>
          <cell r="I32">
            <v>7</v>
          </cell>
        </row>
        <row r="33">
          <cell r="H33">
            <v>16.3679102692134</v>
          </cell>
          <cell r="I33">
            <v>12</v>
          </cell>
        </row>
        <row r="34">
          <cell r="H34">
            <v>26.790307160188195</v>
          </cell>
          <cell r="I34">
            <v>6</v>
          </cell>
        </row>
        <row r="35">
          <cell r="H35">
            <v>26.515247291297477</v>
          </cell>
          <cell r="I35">
            <v>8</v>
          </cell>
        </row>
        <row r="36">
          <cell r="H36">
            <v>0</v>
          </cell>
          <cell r="I36">
            <v>0</v>
          </cell>
        </row>
        <row r="37">
          <cell r="H37">
            <v>24.15621802141079</v>
          </cell>
          <cell r="I37">
            <v>10</v>
          </cell>
        </row>
        <row r="38">
          <cell r="H38">
            <v>85.57027280941935</v>
          </cell>
          <cell r="I38">
            <v>1</v>
          </cell>
        </row>
        <row r="39">
          <cell r="H39">
            <v>76.164039784510834</v>
          </cell>
          <cell r="I39">
            <v>4</v>
          </cell>
        </row>
        <row r="40">
          <cell r="H40">
            <v>29.942563930630008</v>
          </cell>
          <cell r="I40">
            <v>5</v>
          </cell>
        </row>
        <row r="41">
          <cell r="H41">
            <v>0</v>
          </cell>
          <cell r="I41">
            <v>0</v>
          </cell>
        </row>
        <row r="42">
          <cell r="H42">
            <v>84.563245980768215</v>
          </cell>
          <cell r="I42">
            <v>2</v>
          </cell>
        </row>
        <row r="43">
          <cell r="H43">
            <v>82.037747764235021</v>
          </cell>
          <cell r="I43">
            <v>3</v>
          </cell>
        </row>
        <row r="44">
          <cell r="H44">
            <v>26.244576411990852</v>
          </cell>
          <cell r="I44">
            <v>9</v>
          </cell>
        </row>
        <row r="45">
          <cell r="H45">
            <v>0</v>
          </cell>
          <cell r="I45">
            <v>0</v>
          </cell>
        </row>
        <row r="46">
          <cell r="H46">
            <v>23.921916516126583</v>
          </cell>
          <cell r="I46">
            <v>11</v>
          </cell>
        </row>
        <row r="47">
          <cell r="H47">
            <v>0</v>
          </cell>
        </row>
        <row r="56">
          <cell r="H56">
            <v>82.816029274659726</v>
          </cell>
          <cell r="I56">
            <v>2</v>
          </cell>
        </row>
        <row r="57">
          <cell r="H57">
            <v>28.475260898930259</v>
          </cell>
          <cell r="I57">
            <v>3</v>
          </cell>
        </row>
        <row r="58">
          <cell r="H58">
            <v>0</v>
          </cell>
          <cell r="I58">
            <v>0</v>
          </cell>
        </row>
        <row r="59">
          <cell r="H59">
            <v>85.78493721722333</v>
          </cell>
          <cell r="I59">
            <v>1</v>
          </cell>
        </row>
        <row r="68">
          <cell r="H68">
            <v>27.678928466787269</v>
          </cell>
          <cell r="I68">
            <v>3</v>
          </cell>
        </row>
        <row r="69">
          <cell r="H69">
            <v>0</v>
          </cell>
          <cell r="I69">
            <v>0</v>
          </cell>
        </row>
        <row r="70">
          <cell r="H70">
            <v>90.622259136325738</v>
          </cell>
          <cell r="I70">
            <v>1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83.882372203157573</v>
          </cell>
          <cell r="I74">
            <v>2</v>
          </cell>
        </row>
        <row r="82">
          <cell r="H82">
            <v>81.29470856102003</v>
          </cell>
          <cell r="I82">
            <v>1</v>
          </cell>
        </row>
        <row r="83">
          <cell r="H83">
            <v>0</v>
          </cell>
          <cell r="I83">
            <v>0</v>
          </cell>
        </row>
        <row r="84">
          <cell r="H84">
            <v>79.93710796256164</v>
          </cell>
          <cell r="I84">
            <v>2</v>
          </cell>
        </row>
        <row r="85">
          <cell r="H85">
            <v>16.820231329690351</v>
          </cell>
          <cell r="I85">
            <v>3</v>
          </cell>
        </row>
        <row r="93">
          <cell r="H93">
            <v>21.588524589645971</v>
          </cell>
          <cell r="I93">
            <v>7</v>
          </cell>
        </row>
        <row r="94">
          <cell r="H94">
            <v>80.278178523138365</v>
          </cell>
          <cell r="I94">
            <v>4</v>
          </cell>
        </row>
        <row r="95">
          <cell r="H95">
            <v>26.897267788026038</v>
          </cell>
          <cell r="I95">
            <v>6</v>
          </cell>
        </row>
        <row r="96">
          <cell r="H96">
            <v>10.581420857471048</v>
          </cell>
          <cell r="I96">
            <v>9</v>
          </cell>
        </row>
        <row r="97">
          <cell r="H97">
            <v>73.774364545600037</v>
          </cell>
          <cell r="I97">
            <v>5</v>
          </cell>
        </row>
        <row r="98">
          <cell r="H98">
            <v>88.621448054923462</v>
          </cell>
          <cell r="I98">
            <v>1</v>
          </cell>
        </row>
        <row r="99">
          <cell r="H99">
            <v>86.171495989803248</v>
          </cell>
          <cell r="I99">
            <v>2</v>
          </cell>
        </row>
        <row r="100">
          <cell r="H100">
            <v>20.891803246722922</v>
          </cell>
          <cell r="I100">
            <v>8</v>
          </cell>
        </row>
        <row r="101">
          <cell r="H101">
            <v>85.412159925302404</v>
          </cell>
          <cell r="I10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zoomScaleNormal="100" zoomScaleSheetLayoutView="100" workbookViewId="0">
      <selection activeCell="F21" sqref="F21"/>
    </sheetView>
  </sheetViews>
  <sheetFormatPr baseColWidth="10" defaultRowHeight="13.2" x14ac:dyDescent="0.25"/>
  <cols>
    <col min="1" max="1" width="44.88671875" customWidth="1"/>
    <col min="2" max="2" width="16.109375" customWidth="1"/>
    <col min="3" max="3" width="13.6640625" bestFit="1" customWidth="1"/>
    <col min="4" max="4" width="12.6640625" bestFit="1" customWidth="1"/>
    <col min="5" max="5" width="16.5546875" customWidth="1"/>
    <col min="6" max="6" width="14.5546875" bestFit="1" customWidth="1"/>
    <col min="7" max="7" width="16.33203125" customWidth="1"/>
    <col min="8" max="8" width="13" customWidth="1"/>
    <col min="9" max="9" width="9.88671875" customWidth="1"/>
    <col min="11" max="11" width="13.5546875" bestFit="1" customWidth="1"/>
  </cols>
  <sheetData>
    <row r="1" spans="1:9" x14ac:dyDescent="0.25">
      <c r="A1" s="30" t="s">
        <v>276</v>
      </c>
      <c r="B1" s="30"/>
    </row>
    <row r="2" spans="1:9" x14ac:dyDescent="0.25">
      <c r="A2" s="30" t="s">
        <v>236</v>
      </c>
      <c r="B2" s="30"/>
      <c r="C2" s="30"/>
      <c r="D2" s="30"/>
      <c r="E2" s="30"/>
      <c r="F2" s="30"/>
      <c r="G2" s="30"/>
      <c r="H2" s="30"/>
      <c r="I2" s="30"/>
    </row>
    <row r="3" spans="1:9" hidden="1" x14ac:dyDescent="0.25">
      <c r="A3" t="s">
        <v>30</v>
      </c>
    </row>
    <row r="4" spans="1:9" hidden="1" x14ac:dyDescent="0.25">
      <c r="A4" t="s">
        <v>31</v>
      </c>
    </row>
    <row r="5" spans="1:9" hidden="1" x14ac:dyDescent="0.25">
      <c r="A5" t="s">
        <v>32</v>
      </c>
    </row>
    <row r="6" spans="1:9" hidden="1" x14ac:dyDescent="0.25">
      <c r="A6" t="s">
        <v>33</v>
      </c>
    </row>
    <row r="7" spans="1:9" hidden="1" x14ac:dyDescent="0.25">
      <c r="A7" t="s">
        <v>34</v>
      </c>
    </row>
    <row r="8" spans="1:9" hidden="1" x14ac:dyDescent="0.25">
      <c r="A8" t="s">
        <v>35</v>
      </c>
    </row>
    <row r="9" spans="1:9" hidden="1" x14ac:dyDescent="0.25">
      <c r="A9" t="s">
        <v>36</v>
      </c>
    </row>
    <row r="12" spans="1:9" x14ac:dyDescent="0.25">
      <c r="A12" s="30" t="s">
        <v>237</v>
      </c>
      <c r="B12" s="135"/>
      <c r="C12" s="3" t="s">
        <v>392</v>
      </c>
      <c r="E12" s="3"/>
      <c r="F12" s="41">
        <v>231783.05</v>
      </c>
      <c r="G12" s="6" t="s">
        <v>1</v>
      </c>
      <c r="H12" s="1">
        <v>50</v>
      </c>
    </row>
    <row r="13" spans="1:9" x14ac:dyDescent="0.25">
      <c r="A13" s="30"/>
      <c r="B13" s="957" t="s">
        <v>25</v>
      </c>
      <c r="C13" s="958"/>
      <c r="D13" s="958"/>
      <c r="E13" s="958"/>
      <c r="F13" s="959"/>
      <c r="G13" s="31" t="s">
        <v>27</v>
      </c>
      <c r="H13" s="1"/>
    </row>
    <row r="14" spans="1:9" ht="26.4" x14ac:dyDescent="0.25">
      <c r="A14" s="954" t="s">
        <v>16</v>
      </c>
      <c r="B14" s="955" t="s">
        <v>17</v>
      </c>
      <c r="C14" s="955"/>
      <c r="D14" s="955"/>
      <c r="E14" s="954" t="s">
        <v>18</v>
      </c>
      <c r="F14" s="954"/>
      <c r="G14" s="31" t="s">
        <v>28</v>
      </c>
      <c r="H14" s="956" t="s">
        <v>19</v>
      </c>
      <c r="I14" s="956" t="s">
        <v>20</v>
      </c>
    </row>
    <row r="15" spans="1:9" ht="26.4" x14ac:dyDescent="0.25">
      <c r="A15" s="954"/>
      <c r="B15" s="32" t="s">
        <v>235</v>
      </c>
      <c r="C15" s="32" t="s">
        <v>21</v>
      </c>
      <c r="D15" s="32" t="s">
        <v>22</v>
      </c>
      <c r="E15" s="32" t="s">
        <v>26</v>
      </c>
      <c r="F15" s="31" t="s">
        <v>29</v>
      </c>
      <c r="G15" s="31" t="s">
        <v>234</v>
      </c>
      <c r="H15" s="955"/>
      <c r="I15" s="955"/>
    </row>
    <row r="16" spans="1:9" s="96" customFormat="1" x14ac:dyDescent="0.25">
      <c r="A16" s="173" t="s">
        <v>288</v>
      </c>
      <c r="B16" s="33"/>
      <c r="C16" s="10"/>
      <c r="D16" s="34"/>
      <c r="E16" s="175"/>
      <c r="F16" s="142"/>
      <c r="G16" s="172">
        <f>'Lote 1'!L19</f>
        <v>26.298076923076923</v>
      </c>
      <c r="H16" s="128">
        <f t="shared" ref="H16" si="0">D16+F16+G16</f>
        <v>26.298076923076923</v>
      </c>
      <c r="I16" s="163">
        <f>RANK(H16,H$16:H$22,0)</f>
        <v>5</v>
      </c>
    </row>
    <row r="17" spans="1:11" s="96" customFormat="1" x14ac:dyDescent="0.25">
      <c r="A17" s="173" t="s">
        <v>289</v>
      </c>
      <c r="B17" s="33"/>
      <c r="C17" s="10"/>
      <c r="D17" s="34"/>
      <c r="E17" s="175"/>
      <c r="F17" s="142"/>
      <c r="G17" s="172">
        <f>'Lote 1'!L20</f>
        <v>22.132211538461537</v>
      </c>
      <c r="H17" s="128">
        <f t="shared" ref="H17:H22" si="1">D17+F17+G17</f>
        <v>22.132211538461537</v>
      </c>
      <c r="I17" s="163">
        <f t="shared" ref="I17:I22" si="2">RANK(H17,H$16:H$22,0)</f>
        <v>7</v>
      </c>
    </row>
    <row r="18" spans="1:11" s="96" customFormat="1" x14ac:dyDescent="0.25">
      <c r="A18" s="174" t="s">
        <v>290</v>
      </c>
      <c r="B18" s="922">
        <v>196988</v>
      </c>
      <c r="C18" s="10">
        <f t="shared" ref="C18:C20" si="3">100-((B18*100)/F$12)</f>
        <v>15.011904451166728</v>
      </c>
      <c r="D18" s="34">
        <f t="shared" ref="D18:D22" si="4">H$12-((B18-B$23)/D$23)</f>
        <v>46.505654749128546</v>
      </c>
      <c r="E18" s="175">
        <v>10</v>
      </c>
      <c r="F18" s="142">
        <f>VLOOKUP(E18,Tablas!A$56:B$66,2,)</f>
        <v>5</v>
      </c>
      <c r="G18" s="172">
        <f>'Lote 1'!L21</f>
        <v>31.572115384615387</v>
      </c>
      <c r="H18" s="128">
        <f t="shared" si="1"/>
        <v>83.07777013374394</v>
      </c>
      <c r="I18" s="163">
        <f t="shared" si="2"/>
        <v>2</v>
      </c>
    </row>
    <row r="19" spans="1:11" s="96" customFormat="1" x14ac:dyDescent="0.25">
      <c r="A19" s="173" t="s">
        <v>291</v>
      </c>
      <c r="B19" s="922">
        <v>180789.4</v>
      </c>
      <c r="C19" s="10">
        <f t="shared" si="3"/>
        <v>22.000594952909623</v>
      </c>
      <c r="D19" s="34">
        <f t="shared" si="4"/>
        <v>50</v>
      </c>
      <c r="E19" s="175">
        <v>10</v>
      </c>
      <c r="F19" s="142">
        <f>VLOOKUP(E19,Tablas!A$56:B$66,2,)</f>
        <v>5</v>
      </c>
      <c r="G19" s="172">
        <f>'Lote 1'!L22</f>
        <v>37.240899725274723</v>
      </c>
      <c r="H19" s="128">
        <f t="shared" si="1"/>
        <v>92.240899725274716</v>
      </c>
      <c r="I19" s="163">
        <f t="shared" si="2"/>
        <v>1</v>
      </c>
    </row>
    <row r="20" spans="1:11" s="96" customFormat="1" x14ac:dyDescent="0.25">
      <c r="A20" s="173" t="s">
        <v>292</v>
      </c>
      <c r="B20" s="922">
        <v>230529</v>
      </c>
      <c r="C20" s="10">
        <f t="shared" si="3"/>
        <v>0.54104473989792723</v>
      </c>
      <c r="D20" s="34">
        <f t="shared" si="4"/>
        <v>39.270224893494152</v>
      </c>
      <c r="E20" s="175">
        <v>5</v>
      </c>
      <c r="F20" s="142">
        <f>VLOOKUP(E20,Tablas!A$56:B$66,2,)</f>
        <v>1.875</v>
      </c>
      <c r="G20" s="172">
        <f>'Lote 1'!L23</f>
        <v>32.07211538461538</v>
      </c>
      <c r="H20" s="128">
        <f t="shared" si="1"/>
        <v>73.217340278109532</v>
      </c>
      <c r="I20" s="163">
        <f t="shared" si="2"/>
        <v>4</v>
      </c>
    </row>
    <row r="21" spans="1:11" s="96" customFormat="1" x14ac:dyDescent="0.25">
      <c r="A21" s="173" t="s">
        <v>293</v>
      </c>
      <c r="B21" s="33"/>
      <c r="C21" s="10"/>
      <c r="D21" s="34"/>
      <c r="E21" s="175"/>
      <c r="F21" s="142"/>
      <c r="G21" s="172">
        <f>'Lote 1'!L24</f>
        <v>22.805631868131865</v>
      </c>
      <c r="H21" s="128">
        <f t="shared" si="1"/>
        <v>22.805631868131865</v>
      </c>
      <c r="I21" s="163">
        <f t="shared" si="2"/>
        <v>6</v>
      </c>
      <c r="K21" s="921"/>
    </row>
    <row r="22" spans="1:11" x14ac:dyDescent="0.25">
      <c r="A22" s="173" t="s">
        <v>294</v>
      </c>
      <c r="B22" s="33">
        <v>228408.4</v>
      </c>
      <c r="C22" s="10">
        <f>100-((B22*100)/F$12)</f>
        <v>1.4559520206503436</v>
      </c>
      <c r="D22" s="34">
        <f t="shared" si="4"/>
        <v>39.72767853387036</v>
      </c>
      <c r="E22" s="176">
        <v>10</v>
      </c>
      <c r="F22" s="142">
        <f>VLOOKUP(E22,Tablas!A$56:B$66,2,)</f>
        <v>5</v>
      </c>
      <c r="G22" s="172">
        <f>'Lote 1'!L25</f>
        <v>30.59855769230769</v>
      </c>
      <c r="H22" s="128">
        <f t="shared" si="1"/>
        <v>75.326236226178054</v>
      </c>
      <c r="I22" s="163">
        <f t="shared" si="2"/>
        <v>3</v>
      </c>
    </row>
    <row r="23" spans="1:11" x14ac:dyDescent="0.25">
      <c r="A23" s="35" t="s">
        <v>23</v>
      </c>
      <c r="B23" s="36">
        <f>MIN(B16:B22)</f>
        <v>180789.4</v>
      </c>
      <c r="C23" s="37" t="s">
        <v>24</v>
      </c>
      <c r="D23" s="38">
        <f>F12/H12</f>
        <v>4635.6610000000001</v>
      </c>
      <c r="E23" s="5"/>
      <c r="I23" s="14"/>
    </row>
    <row r="26" spans="1:11" x14ac:dyDescent="0.25">
      <c r="A26" s="30" t="s">
        <v>239</v>
      </c>
      <c r="B26" s="135"/>
      <c r="D26" s="3" t="s">
        <v>0</v>
      </c>
      <c r="E26" s="3"/>
      <c r="F26" s="41">
        <v>171378.81</v>
      </c>
      <c r="G26" s="6" t="s">
        <v>1</v>
      </c>
      <c r="H26" s="1">
        <v>50</v>
      </c>
    </row>
    <row r="27" spans="1:11" x14ac:dyDescent="0.25">
      <c r="A27" s="30"/>
      <c r="B27" s="957" t="s">
        <v>25</v>
      </c>
      <c r="C27" s="958"/>
      <c r="D27" s="958"/>
      <c r="E27" s="958"/>
      <c r="F27" s="959"/>
      <c r="G27" s="31" t="s">
        <v>27</v>
      </c>
      <c r="H27" s="1"/>
    </row>
    <row r="28" spans="1:11" ht="26.4" x14ac:dyDescent="0.25">
      <c r="A28" s="954" t="s">
        <v>16</v>
      </c>
      <c r="B28" s="954" t="s">
        <v>17</v>
      </c>
      <c r="C28" s="954"/>
      <c r="D28" s="954"/>
      <c r="E28" s="954" t="s">
        <v>18</v>
      </c>
      <c r="F28" s="954"/>
      <c r="G28" s="31" t="s">
        <v>28</v>
      </c>
      <c r="H28" s="956" t="s">
        <v>19</v>
      </c>
      <c r="I28" s="956" t="s">
        <v>20</v>
      </c>
    </row>
    <row r="29" spans="1:11" ht="26.4" x14ac:dyDescent="0.25">
      <c r="A29" s="954"/>
      <c r="B29" s="32" t="s">
        <v>235</v>
      </c>
      <c r="C29" s="31" t="s">
        <v>21</v>
      </c>
      <c r="D29" s="31" t="s">
        <v>22</v>
      </c>
      <c r="E29" s="31" t="s">
        <v>26</v>
      </c>
      <c r="F29" s="31" t="s">
        <v>29</v>
      </c>
      <c r="G29" s="31" t="s">
        <v>234</v>
      </c>
      <c r="H29" s="955"/>
      <c r="I29" s="955"/>
    </row>
    <row r="30" spans="1:11" hidden="1" x14ac:dyDescent="0.25">
      <c r="A30" s="332" t="s">
        <v>295</v>
      </c>
      <c r="B30" s="333"/>
      <c r="C30" s="334"/>
      <c r="D30" s="335"/>
      <c r="E30" s="336"/>
      <c r="F30" s="337"/>
      <c r="G30" s="335"/>
      <c r="H30" s="338">
        <f t="shared" ref="H30" si="5">D30+F30+G30</f>
        <v>0</v>
      </c>
      <c r="I30" s="339"/>
    </row>
    <row r="31" spans="1:11" hidden="1" x14ac:dyDescent="0.25">
      <c r="A31" s="332" t="s">
        <v>296</v>
      </c>
      <c r="B31" s="333"/>
      <c r="C31" s="334"/>
      <c r="D31" s="335"/>
      <c r="E31" s="336"/>
      <c r="F31" s="337"/>
      <c r="G31" s="335"/>
      <c r="H31" s="338">
        <f>D31+F31+G31</f>
        <v>0</v>
      </c>
      <c r="I31" s="339"/>
    </row>
    <row r="32" spans="1:11" x14ac:dyDescent="0.25">
      <c r="A32" s="13" t="s">
        <v>322</v>
      </c>
      <c r="B32" s="39"/>
      <c r="C32" s="10"/>
      <c r="D32" s="34"/>
      <c r="E32" s="44"/>
      <c r="F32" s="142"/>
      <c r="G32" s="34">
        <f>'Lote 2'!M45</f>
        <v>26.81930733927733</v>
      </c>
      <c r="H32" s="128">
        <f t="shared" ref="H32:H35" si="6">D32+F32+G32</f>
        <v>26.81930733927733</v>
      </c>
      <c r="I32" s="433">
        <f>RANK(H32,H$30:H$47,0)</f>
        <v>5</v>
      </c>
    </row>
    <row r="33" spans="1:9" x14ac:dyDescent="0.25">
      <c r="A33" s="13" t="s">
        <v>297</v>
      </c>
      <c r="B33" s="39"/>
      <c r="C33" s="10"/>
      <c r="D33" s="34"/>
      <c r="E33" s="44"/>
      <c r="F33" s="142"/>
      <c r="G33" s="34">
        <f>'Lote 2'!M46</f>
        <v>15.741536642839772</v>
      </c>
      <c r="H33" s="128">
        <f t="shared" si="6"/>
        <v>15.741536642839772</v>
      </c>
      <c r="I33" s="433">
        <f t="shared" ref="I33:I46" si="7">RANK(H33,H$30:H$47,0)</f>
        <v>12</v>
      </c>
    </row>
    <row r="34" spans="1:9" x14ac:dyDescent="0.25">
      <c r="A34" s="13" t="s">
        <v>298</v>
      </c>
      <c r="B34" s="39"/>
      <c r="C34" s="10"/>
      <c r="D34" s="34"/>
      <c r="E34" s="44"/>
      <c r="F34" s="142"/>
      <c r="G34" s="34">
        <f>'Lote 2'!M47</f>
        <v>26.590787929418966</v>
      </c>
      <c r="H34" s="128">
        <f t="shared" si="6"/>
        <v>26.590787929418966</v>
      </c>
      <c r="I34" s="433">
        <f t="shared" si="7"/>
        <v>6</v>
      </c>
    </row>
    <row r="35" spans="1:9" x14ac:dyDescent="0.25">
      <c r="A35" s="13" t="s">
        <v>289</v>
      </c>
      <c r="B35" s="39"/>
      <c r="C35" s="10"/>
      <c r="D35" s="34"/>
      <c r="E35" s="44"/>
      <c r="F35" s="142"/>
      <c r="G35" s="34">
        <f>'Lote 2'!M48</f>
        <v>25.050103060528247</v>
      </c>
      <c r="H35" s="128">
        <f t="shared" si="6"/>
        <v>25.050103060528247</v>
      </c>
      <c r="I35" s="433">
        <f t="shared" si="7"/>
        <v>8</v>
      </c>
    </row>
    <row r="36" spans="1:9" hidden="1" x14ac:dyDescent="0.25">
      <c r="A36" s="332" t="s">
        <v>299</v>
      </c>
      <c r="B36" s="333"/>
      <c r="C36" s="334"/>
      <c r="D36" s="335"/>
      <c r="E36" s="336"/>
      <c r="F36" s="337"/>
      <c r="G36" s="335"/>
      <c r="H36" s="338">
        <f>D36+F36+G36</f>
        <v>0</v>
      </c>
      <c r="I36" s="339"/>
    </row>
    <row r="37" spans="1:9" x14ac:dyDescent="0.25">
      <c r="A37" s="13" t="s">
        <v>300</v>
      </c>
      <c r="B37" s="39"/>
      <c r="C37" s="10"/>
      <c r="D37" s="34"/>
      <c r="E37" s="44"/>
      <c r="F37" s="142"/>
      <c r="G37" s="34">
        <f>'Lote 2'!M50</f>
        <v>21.841829285147057</v>
      </c>
      <c r="H37" s="128">
        <f>D37+F37+G37</f>
        <v>21.841829285147057</v>
      </c>
      <c r="I37" s="433">
        <f t="shared" si="7"/>
        <v>10</v>
      </c>
    </row>
    <row r="38" spans="1:9" x14ac:dyDescent="0.25">
      <c r="A38" s="946" t="s">
        <v>301</v>
      </c>
      <c r="B38" s="947">
        <v>105435.86</v>
      </c>
      <c r="C38" s="948">
        <f t="shared" ref="C38" si="8">100-((B38*100)/F$26)</f>
        <v>38.477890002853911</v>
      </c>
      <c r="D38" s="949">
        <f>H$26-((B38-B$48)/D$48)</f>
        <v>47.385476069065952</v>
      </c>
      <c r="E38" s="950">
        <v>5</v>
      </c>
      <c r="F38" s="951">
        <f>VLOOKUP(E38,Tablas!A$56:B$66,2,)</f>
        <v>1.875</v>
      </c>
      <c r="G38" s="949">
        <f>'Lote 2'!M51</f>
        <v>34.052585201891866</v>
      </c>
      <c r="H38" s="494">
        <f t="shared" ref="H38" si="9">D38+F38+G38</f>
        <v>83.313061270957817</v>
      </c>
      <c r="I38" s="602">
        <f t="shared" si="7"/>
        <v>1</v>
      </c>
    </row>
    <row r="39" spans="1:9" x14ac:dyDescent="0.25">
      <c r="A39" s="946" t="s">
        <v>293</v>
      </c>
      <c r="B39" s="947">
        <v>144273</v>
      </c>
      <c r="C39" s="948">
        <f>100-((B39*100)/F$26)</f>
        <v>15.816313580424563</v>
      </c>
      <c r="D39" s="949">
        <f>H$26-((B39-B$48)/D$48)</f>
        <v>36.05468785785127</v>
      </c>
      <c r="E39" s="950">
        <v>10</v>
      </c>
      <c r="F39" s="951">
        <f>VLOOKUP(E39,Tablas!A$56:B$66,2,)</f>
        <v>5</v>
      </c>
      <c r="G39" s="949">
        <f>'Lote 2'!M52</f>
        <v>32.352140388198023</v>
      </c>
      <c r="H39" s="494">
        <f>D39+F39+G39</f>
        <v>73.406828246049287</v>
      </c>
      <c r="I39" s="433">
        <f t="shared" si="7"/>
        <v>3</v>
      </c>
    </row>
    <row r="40" spans="1:9" x14ac:dyDescent="0.25">
      <c r="A40" s="13" t="s">
        <v>302</v>
      </c>
      <c r="B40" s="39"/>
      <c r="C40" s="10"/>
      <c r="D40" s="34"/>
      <c r="E40" s="44"/>
      <c r="F40" s="142"/>
      <c r="G40" s="34">
        <f>'Lote 2'!M53</f>
        <v>25.370210297412093</v>
      </c>
      <c r="H40" s="128">
        <f>D40+F40+G40</f>
        <v>25.370210297412093</v>
      </c>
      <c r="I40" s="433">
        <f t="shared" si="7"/>
        <v>7</v>
      </c>
    </row>
    <row r="41" spans="1:9" hidden="1" x14ac:dyDescent="0.25">
      <c r="A41" s="332" t="s">
        <v>294</v>
      </c>
      <c r="B41" s="333"/>
      <c r="C41" s="334"/>
      <c r="D41" s="335"/>
      <c r="E41" s="336"/>
      <c r="F41" s="337"/>
      <c r="G41" s="335"/>
      <c r="H41" s="338">
        <f t="shared" ref="H41:H46" si="10">D41+F41+G41</f>
        <v>0</v>
      </c>
      <c r="I41" s="339"/>
    </row>
    <row r="42" spans="1:9" x14ac:dyDescent="0.25">
      <c r="A42" s="946" t="s">
        <v>303</v>
      </c>
      <c r="B42" s="947">
        <v>96474.38</v>
      </c>
      <c r="C42" s="948">
        <f t="shared" ref="C42:C43" si="11">100-((B42*100)/F$26)</f>
        <v>43.706937864722015</v>
      </c>
      <c r="D42" s="949">
        <f>H$26-((B42-B$48)/D$48)</f>
        <v>50</v>
      </c>
      <c r="E42" s="950">
        <v>5</v>
      </c>
      <c r="F42" s="951">
        <f>VLOOKUP(E42,Tablas!A$56:B$66,2,)</f>
        <v>1.875</v>
      </c>
      <c r="G42" s="949">
        <f>'Lote 2'!M55</f>
        <v>30.102909442306682</v>
      </c>
      <c r="H42" s="494">
        <f t="shared" si="10"/>
        <v>81.977909442306682</v>
      </c>
      <c r="I42" s="433">
        <f t="shared" si="7"/>
        <v>2</v>
      </c>
    </row>
    <row r="43" spans="1:9" x14ac:dyDescent="0.25">
      <c r="A43" s="13" t="s">
        <v>304</v>
      </c>
      <c r="B43" s="941">
        <v>99514.1</v>
      </c>
      <c r="C43" s="942">
        <f t="shared" si="11"/>
        <v>41.933253008350334</v>
      </c>
      <c r="D43" s="943">
        <f>H$26-((B43-B$48)/D$48)</f>
        <v>49.113157571814156</v>
      </c>
      <c r="E43" s="944">
        <v>6</v>
      </c>
      <c r="F43" s="945">
        <f>VLOOKUP(E43,Tablas!A$56:B$66,2,)</f>
        <v>2.5</v>
      </c>
      <c r="G43" s="34">
        <f>'Lote 2'!M56</f>
        <v>28.397823040653712</v>
      </c>
      <c r="H43" s="128">
        <f>G43</f>
        <v>28.397823040653712</v>
      </c>
      <c r="I43" s="433">
        <f t="shared" si="7"/>
        <v>4</v>
      </c>
    </row>
    <row r="44" spans="1:9" x14ac:dyDescent="0.25">
      <c r="A44" s="13" t="s">
        <v>305</v>
      </c>
      <c r="B44" s="39"/>
      <c r="C44" s="10"/>
      <c r="D44" s="34"/>
      <c r="E44" s="44"/>
      <c r="F44" s="142"/>
      <c r="G44" s="34">
        <f>'Lote 2'!M57</f>
        <v>23.790077785617225</v>
      </c>
      <c r="H44" s="128">
        <f t="shared" si="10"/>
        <v>23.790077785617225</v>
      </c>
      <c r="I44" s="433">
        <f t="shared" si="7"/>
        <v>9</v>
      </c>
    </row>
    <row r="45" spans="1:9" hidden="1" x14ac:dyDescent="0.25">
      <c r="A45" s="332" t="s">
        <v>306</v>
      </c>
      <c r="B45" s="333"/>
      <c r="C45" s="334"/>
      <c r="D45" s="335"/>
      <c r="E45" s="336"/>
      <c r="F45" s="337"/>
      <c r="G45" s="335">
        <f>'Lote 2'!M58</f>
        <v>0</v>
      </c>
      <c r="H45" s="338">
        <f t="shared" si="10"/>
        <v>0</v>
      </c>
      <c r="I45" s="339"/>
    </row>
    <row r="46" spans="1:9" x14ac:dyDescent="0.25">
      <c r="A46" s="473" t="s">
        <v>307</v>
      </c>
      <c r="B46" s="489"/>
      <c r="C46" s="490"/>
      <c r="D46" s="491"/>
      <c r="E46" s="492"/>
      <c r="F46" s="493"/>
      <c r="G46" s="491">
        <f>'Lote 2'!M59</f>
        <v>19.961408274368342</v>
      </c>
      <c r="H46" s="494">
        <f t="shared" si="10"/>
        <v>19.961408274368342</v>
      </c>
      <c r="I46" s="471">
        <f t="shared" si="7"/>
        <v>11</v>
      </c>
    </row>
    <row r="47" spans="1:9" hidden="1" x14ac:dyDescent="0.25">
      <c r="A47" s="332" t="s">
        <v>308</v>
      </c>
      <c r="B47" s="333"/>
      <c r="C47" s="334"/>
      <c r="D47" s="335"/>
      <c r="E47" s="336"/>
      <c r="F47" s="337"/>
      <c r="G47" s="335"/>
      <c r="H47" s="338">
        <f>D47+F47+G47</f>
        <v>0</v>
      </c>
      <c r="I47" s="339"/>
    </row>
    <row r="48" spans="1:9" x14ac:dyDescent="0.25">
      <c r="A48" s="35" t="s">
        <v>23</v>
      </c>
      <c r="B48" s="36">
        <f>MIN(B30:B47)</f>
        <v>96474.38</v>
      </c>
      <c r="C48" s="22" t="s">
        <v>24</v>
      </c>
      <c r="D48" s="29">
        <f>F26/H26</f>
        <v>3427.5762</v>
      </c>
      <c r="E48" s="5"/>
      <c r="H48" s="14"/>
    </row>
    <row r="50" spans="1:9" x14ac:dyDescent="0.25">
      <c r="A50" s="30" t="s">
        <v>240</v>
      </c>
      <c r="B50" s="135"/>
      <c r="D50" s="3" t="s">
        <v>0</v>
      </c>
      <c r="E50" s="3"/>
      <c r="F50" s="41">
        <v>233005.08</v>
      </c>
      <c r="G50" s="6" t="s">
        <v>1</v>
      </c>
      <c r="H50" s="1">
        <v>50</v>
      </c>
    </row>
    <row r="51" spans="1:9" x14ac:dyDescent="0.25">
      <c r="A51" s="30"/>
      <c r="B51" s="957" t="s">
        <v>25</v>
      </c>
      <c r="C51" s="958"/>
      <c r="D51" s="958"/>
      <c r="E51" s="958"/>
      <c r="F51" s="959"/>
      <c r="G51" s="31" t="s">
        <v>27</v>
      </c>
      <c r="H51" s="41"/>
      <c r="I51" s="6"/>
    </row>
    <row r="52" spans="1:9" ht="26.4" x14ac:dyDescent="0.25">
      <c r="A52" s="954" t="s">
        <v>16</v>
      </c>
      <c r="B52" s="954" t="s">
        <v>17</v>
      </c>
      <c r="C52" s="954"/>
      <c r="D52" s="954"/>
      <c r="E52" s="954" t="s">
        <v>18</v>
      </c>
      <c r="F52" s="954"/>
      <c r="G52" s="31" t="s">
        <v>28</v>
      </c>
      <c r="H52" s="956" t="s">
        <v>19</v>
      </c>
      <c r="I52" s="956" t="s">
        <v>20</v>
      </c>
    </row>
    <row r="53" spans="1:9" ht="26.4" x14ac:dyDescent="0.25">
      <c r="A53" s="954"/>
      <c r="B53" s="32" t="s">
        <v>235</v>
      </c>
      <c r="C53" s="31" t="s">
        <v>21</v>
      </c>
      <c r="D53" s="31" t="s">
        <v>22</v>
      </c>
      <c r="E53" s="31" t="s">
        <v>26</v>
      </c>
      <c r="F53" s="31" t="s">
        <v>29</v>
      </c>
      <c r="G53" s="31" t="s">
        <v>234</v>
      </c>
      <c r="H53" s="955"/>
      <c r="I53" s="955"/>
    </row>
    <row r="54" spans="1:9" hidden="1" x14ac:dyDescent="0.25">
      <c r="A54" s="332" t="s">
        <v>297</v>
      </c>
      <c r="B54" s="340"/>
      <c r="C54" s="334"/>
      <c r="D54" s="335"/>
      <c r="E54" s="341"/>
      <c r="F54" s="337"/>
      <c r="G54" s="335"/>
      <c r="H54" s="342">
        <f>D54+F54+G54</f>
        <v>0</v>
      </c>
      <c r="I54" s="339"/>
    </row>
    <row r="55" spans="1:9" hidden="1" x14ac:dyDescent="0.25">
      <c r="A55" s="332" t="s">
        <v>300</v>
      </c>
      <c r="B55" s="340"/>
      <c r="C55" s="334"/>
      <c r="D55" s="335"/>
      <c r="E55" s="341"/>
      <c r="F55" s="337"/>
      <c r="G55" s="335"/>
      <c r="H55" s="342">
        <f t="shared" ref="H55:H60" si="12">D55+F55+G55</f>
        <v>0</v>
      </c>
      <c r="I55" s="339"/>
    </row>
    <row r="56" spans="1:9" x14ac:dyDescent="0.25">
      <c r="A56" s="13" t="s">
        <v>301</v>
      </c>
      <c r="B56" s="39">
        <v>202872.55</v>
      </c>
      <c r="C56" s="10">
        <f t="shared" ref="C56:C59" si="13">100-((B56*100)/F$50)</f>
        <v>12.932134355182299</v>
      </c>
      <c r="D56" s="34">
        <f>H$50-((B56-B$61)/D$61)</f>
        <v>42.134933281282969</v>
      </c>
      <c r="E56" s="39">
        <v>5</v>
      </c>
      <c r="F56" s="142">
        <f>VLOOKUP(E56,Tablas!A$56:B$66,2,)</f>
        <v>1.875</v>
      </c>
      <c r="G56" s="34">
        <f>'Lote 3'!M50</f>
        <v>38.19700775741039</v>
      </c>
      <c r="H56" s="129">
        <f t="shared" si="12"/>
        <v>82.206941038693358</v>
      </c>
      <c r="I56" s="137">
        <f t="shared" ref="I56:I59" si="14">RANK(H56,H$54:H$60,0)</f>
        <v>2</v>
      </c>
    </row>
    <row r="57" spans="1:9" x14ac:dyDescent="0.25">
      <c r="A57" s="13" t="s">
        <v>303</v>
      </c>
      <c r="B57" s="33"/>
      <c r="C57" s="10"/>
      <c r="D57" s="34"/>
      <c r="E57" s="45"/>
      <c r="F57" s="142"/>
      <c r="G57" s="34">
        <f>'Lote 3'!M51</f>
        <v>28.505603609335427</v>
      </c>
      <c r="H57" s="129">
        <f t="shared" si="12"/>
        <v>28.505603609335427</v>
      </c>
      <c r="I57" s="137">
        <f t="shared" si="14"/>
        <v>3</v>
      </c>
    </row>
    <row r="58" spans="1:9" hidden="1" x14ac:dyDescent="0.25">
      <c r="A58" s="332" t="s">
        <v>304</v>
      </c>
      <c r="B58" s="33"/>
      <c r="C58" s="10">
        <f t="shared" si="13"/>
        <v>100</v>
      </c>
      <c r="D58" s="34">
        <f t="shared" ref="D58:D59" si="15">H$50-((B58-B$61)/D$61)</f>
        <v>85.668866103691812</v>
      </c>
      <c r="E58" s="341"/>
      <c r="F58" s="337"/>
      <c r="G58" s="335"/>
      <c r="H58" s="342"/>
      <c r="I58" s="339"/>
    </row>
    <row r="59" spans="1:9" ht="12" customHeight="1" x14ac:dyDescent="0.25">
      <c r="A59" s="13" t="s">
        <v>305</v>
      </c>
      <c r="B59" s="39">
        <v>166220.54</v>
      </c>
      <c r="C59" s="10">
        <f t="shared" si="13"/>
        <v>28.662267792616362</v>
      </c>
      <c r="D59" s="34">
        <f t="shared" si="15"/>
        <v>50</v>
      </c>
      <c r="E59" s="39">
        <v>10</v>
      </c>
      <c r="F59" s="142">
        <f>VLOOKUP(E59,Tablas!A$56:B$66,2,)</f>
        <v>5</v>
      </c>
      <c r="G59" s="34">
        <f>'Lote 3'!M52</f>
        <v>30.484656306128198</v>
      </c>
      <c r="H59" s="129">
        <f t="shared" si="12"/>
        <v>85.484656306128201</v>
      </c>
      <c r="I59" s="137">
        <f t="shared" si="14"/>
        <v>1</v>
      </c>
    </row>
    <row r="60" spans="1:9" hidden="1" x14ac:dyDescent="0.25">
      <c r="A60" s="332" t="s">
        <v>308</v>
      </c>
      <c r="B60" s="40"/>
      <c r="C60" s="334"/>
      <c r="D60" s="335"/>
      <c r="E60" s="341"/>
      <c r="F60" s="337"/>
      <c r="G60" s="335"/>
      <c r="H60" s="342">
        <f t="shared" si="12"/>
        <v>0</v>
      </c>
      <c r="I60" s="339"/>
    </row>
    <row r="61" spans="1:9" x14ac:dyDescent="0.25">
      <c r="A61" s="35" t="s">
        <v>23</v>
      </c>
      <c r="B61" s="36">
        <f>MIN(B56:B59)</f>
        <v>166220.54</v>
      </c>
      <c r="C61" s="22" t="s">
        <v>24</v>
      </c>
      <c r="D61" s="29">
        <f>F50/H50</f>
        <v>4660.1016</v>
      </c>
      <c r="E61" s="5"/>
    </row>
    <row r="64" spans="1:9" x14ac:dyDescent="0.25">
      <c r="A64" s="30" t="s">
        <v>241</v>
      </c>
      <c r="B64" s="135"/>
      <c r="D64" s="3" t="s">
        <v>0</v>
      </c>
      <c r="E64" s="3"/>
      <c r="F64" s="41">
        <v>84494.07</v>
      </c>
      <c r="G64" s="6" t="s">
        <v>1</v>
      </c>
      <c r="H64" s="1">
        <v>50</v>
      </c>
    </row>
    <row r="65" spans="1:9" x14ac:dyDescent="0.25">
      <c r="A65" s="30"/>
      <c r="B65" s="957" t="s">
        <v>25</v>
      </c>
      <c r="C65" s="958"/>
      <c r="D65" s="958"/>
      <c r="E65" s="958"/>
      <c r="F65" s="959"/>
      <c r="G65" s="920" t="s">
        <v>27</v>
      </c>
      <c r="H65" s="41"/>
      <c r="I65" s="6"/>
    </row>
    <row r="66" spans="1:9" ht="26.4" x14ac:dyDescent="0.25">
      <c r="A66" s="954" t="s">
        <v>16</v>
      </c>
      <c r="B66" s="954" t="s">
        <v>17</v>
      </c>
      <c r="C66" s="954"/>
      <c r="D66" s="954"/>
      <c r="E66" s="954" t="s">
        <v>18</v>
      </c>
      <c r="F66" s="954"/>
      <c r="G66" s="31" t="s">
        <v>28</v>
      </c>
      <c r="H66" s="956" t="s">
        <v>19</v>
      </c>
      <c r="I66" s="956" t="s">
        <v>20</v>
      </c>
    </row>
    <row r="67" spans="1:9" ht="26.4" x14ac:dyDescent="0.25">
      <c r="A67" s="954"/>
      <c r="B67" s="32" t="s">
        <v>235</v>
      </c>
      <c r="C67" s="31" t="s">
        <v>21</v>
      </c>
      <c r="D67" s="31" t="s">
        <v>22</v>
      </c>
      <c r="E67" s="31" t="s">
        <v>26</v>
      </c>
      <c r="F67" s="31" t="s">
        <v>29</v>
      </c>
      <c r="G67" s="31" t="s">
        <v>234</v>
      </c>
      <c r="H67" s="955"/>
      <c r="I67" s="955"/>
    </row>
    <row r="68" spans="1:9" x14ac:dyDescent="0.25">
      <c r="A68" s="206" t="s">
        <v>297</v>
      </c>
      <c r="B68" s="33"/>
      <c r="C68" s="10"/>
      <c r="D68" s="34"/>
      <c r="E68" s="45"/>
      <c r="F68" s="142">
        <f>VLOOKUP(E68,Tablas!A$56:B$66,2,)</f>
        <v>0</v>
      </c>
      <c r="G68" s="10">
        <f>'Lote 4'!M50</f>
        <v>28.24450225154423</v>
      </c>
      <c r="H68" s="130">
        <f>D68+F68+G68</f>
        <v>28.24450225154423</v>
      </c>
      <c r="I68" s="137">
        <f>RANK(H68,H$68:H$74,0)</f>
        <v>3</v>
      </c>
    </row>
    <row r="69" spans="1:9" ht="12.75" hidden="1" customHeight="1" x14ac:dyDescent="0.25">
      <c r="A69" s="332" t="s">
        <v>300</v>
      </c>
      <c r="B69" s="351"/>
      <c r="C69" s="334"/>
      <c r="D69" s="335"/>
      <c r="E69" s="341"/>
      <c r="F69" s="337"/>
      <c r="G69" s="334"/>
      <c r="H69" s="352">
        <f t="shared" ref="H69:H74" si="16">D69+F69+G69</f>
        <v>0</v>
      </c>
      <c r="I69" s="339"/>
    </row>
    <row r="70" spans="1:9" x14ac:dyDescent="0.25">
      <c r="A70" s="13" t="s">
        <v>301</v>
      </c>
      <c r="B70" s="33">
        <v>78452</v>
      </c>
      <c r="C70" s="10">
        <f t="shared" ref="C70:C74" si="17">100-((B70*100)/F$64)</f>
        <v>7.1508805292489797</v>
      </c>
      <c r="D70" s="34">
        <f t="shared" ref="D70:D74" si="18">H$64-((B70-B$75)/D$75)</f>
        <v>50</v>
      </c>
      <c r="E70" s="45">
        <v>5</v>
      </c>
      <c r="F70" s="142">
        <f>VLOOKUP(E70,Tablas!A$56:B$66,2,)</f>
        <v>1.875</v>
      </c>
      <c r="G70" s="10">
        <f>'Lote 4'!M51</f>
        <v>37.253406639630725</v>
      </c>
      <c r="H70" s="130">
        <f t="shared" si="16"/>
        <v>89.128406639630725</v>
      </c>
      <c r="I70" s="542">
        <f t="shared" ref="I70:I74" si="19">RANK(H70,H$68:H$74,0)</f>
        <v>1</v>
      </c>
    </row>
    <row r="71" spans="1:9" hidden="1" x14ac:dyDescent="0.25">
      <c r="A71" s="332" t="s">
        <v>293</v>
      </c>
      <c r="B71" s="351"/>
      <c r="C71" s="334">
        <f t="shared" si="17"/>
        <v>100</v>
      </c>
      <c r="D71" s="34">
        <f t="shared" si="18"/>
        <v>96.42455973537551</v>
      </c>
      <c r="E71" s="341"/>
      <c r="F71" s="337"/>
      <c r="G71" s="334"/>
      <c r="H71" s="352"/>
      <c r="I71" s="339"/>
    </row>
    <row r="72" spans="1:9" hidden="1" x14ac:dyDescent="0.25">
      <c r="A72" s="332" t="s">
        <v>294</v>
      </c>
      <c r="B72" s="351"/>
      <c r="C72" s="334">
        <f t="shared" si="17"/>
        <v>100</v>
      </c>
      <c r="D72" s="34">
        <f t="shared" si="18"/>
        <v>96.42455973537551</v>
      </c>
      <c r="E72" s="341"/>
      <c r="F72" s="337"/>
      <c r="G72" s="334"/>
      <c r="H72" s="352"/>
      <c r="I72" s="339"/>
    </row>
    <row r="73" spans="1:9" hidden="1" x14ac:dyDescent="0.25">
      <c r="A73" s="332" t="s">
        <v>304</v>
      </c>
      <c r="B73" s="351"/>
      <c r="C73" s="334">
        <f t="shared" si="17"/>
        <v>100</v>
      </c>
      <c r="D73" s="34">
        <f t="shared" si="18"/>
        <v>96.42455973537551</v>
      </c>
      <c r="E73" s="341"/>
      <c r="F73" s="337"/>
      <c r="G73" s="334"/>
      <c r="H73" s="352"/>
      <c r="I73" s="339"/>
    </row>
    <row r="74" spans="1:9" x14ac:dyDescent="0.25">
      <c r="A74" s="13" t="s">
        <v>308</v>
      </c>
      <c r="B74" s="33">
        <v>80349.48</v>
      </c>
      <c r="C74" s="10">
        <f t="shared" si="17"/>
        <v>4.905184470342121</v>
      </c>
      <c r="D74" s="34">
        <f t="shared" si="18"/>
        <v>48.877151970546578</v>
      </c>
      <c r="E74" s="45">
        <v>10</v>
      </c>
      <c r="F74" s="142">
        <f>VLOOKUP(E74,Tablas!A$56:B$66,2,)</f>
        <v>5</v>
      </c>
      <c r="G74" s="10">
        <f>'Lote 4'!N29</f>
        <v>30.005220232610995</v>
      </c>
      <c r="H74" s="130">
        <f t="shared" si="16"/>
        <v>83.882372203157573</v>
      </c>
      <c r="I74" s="542">
        <f t="shared" si="19"/>
        <v>2</v>
      </c>
    </row>
    <row r="75" spans="1:9" x14ac:dyDescent="0.25">
      <c r="A75" s="35" t="s">
        <v>23</v>
      </c>
      <c r="B75" s="36">
        <f>MIN(B68:B74)</f>
        <v>78452</v>
      </c>
      <c r="C75" s="37" t="s">
        <v>24</v>
      </c>
      <c r="D75" s="38">
        <f>F64/H64</f>
        <v>1689.8814000000002</v>
      </c>
      <c r="E75" s="5"/>
    </row>
    <row r="78" spans="1:9" x14ac:dyDescent="0.25">
      <c r="A78" s="30" t="s">
        <v>242</v>
      </c>
      <c r="B78" s="135"/>
      <c r="D78" s="3" t="s">
        <v>0</v>
      </c>
      <c r="E78" s="3"/>
      <c r="F78" s="41">
        <v>209745.76</v>
      </c>
      <c r="G78" s="6" t="s">
        <v>1</v>
      </c>
      <c r="H78" s="138">
        <v>50</v>
      </c>
    </row>
    <row r="79" spans="1:9" x14ac:dyDescent="0.25">
      <c r="A79" s="30"/>
      <c r="B79" s="957" t="s">
        <v>25</v>
      </c>
      <c r="C79" s="958"/>
      <c r="D79" s="958"/>
      <c r="E79" s="958"/>
      <c r="F79" s="959"/>
      <c r="G79" s="136" t="s">
        <v>27</v>
      </c>
      <c r="H79" s="41"/>
      <c r="I79" s="6"/>
    </row>
    <row r="80" spans="1:9" ht="26.4" x14ac:dyDescent="0.25">
      <c r="A80" s="954" t="s">
        <v>16</v>
      </c>
      <c r="B80" s="954" t="s">
        <v>17</v>
      </c>
      <c r="C80" s="954"/>
      <c r="D80" s="954"/>
      <c r="E80" s="954" t="s">
        <v>18</v>
      </c>
      <c r="F80" s="954"/>
      <c r="G80" s="136" t="s">
        <v>28</v>
      </c>
      <c r="H80" s="956" t="s">
        <v>19</v>
      </c>
      <c r="I80" s="956" t="s">
        <v>20</v>
      </c>
    </row>
    <row r="81" spans="1:9" ht="26.4" x14ac:dyDescent="0.25">
      <c r="A81" s="954"/>
      <c r="B81" s="32" t="s">
        <v>235</v>
      </c>
      <c r="C81" s="136" t="s">
        <v>21</v>
      </c>
      <c r="D81" s="136" t="s">
        <v>22</v>
      </c>
      <c r="E81" s="136" t="s">
        <v>26</v>
      </c>
      <c r="F81" s="136" t="s">
        <v>29</v>
      </c>
      <c r="G81" s="136" t="s">
        <v>234</v>
      </c>
      <c r="H81" s="955"/>
      <c r="I81" s="955"/>
    </row>
    <row r="82" spans="1:9" x14ac:dyDescent="0.25">
      <c r="A82" s="13" t="s">
        <v>309</v>
      </c>
      <c r="B82" s="33">
        <v>175767.88</v>
      </c>
      <c r="C82" s="10">
        <f t="shared" ref="C82:C84" si="20">100-((B82*100)/F$50)</f>
        <v>24.564786312813439</v>
      </c>
      <c r="D82" s="34">
        <f>H$78-((B82-B$86)/D$86)</f>
        <v>50</v>
      </c>
      <c r="E82" s="45">
        <v>4</v>
      </c>
      <c r="F82" s="142">
        <f>VLOOKUP(E82,Tablas!A$56:B$66,2,)</f>
        <v>1.25</v>
      </c>
      <c r="G82" s="10">
        <f>'Lote 5'!M42</f>
        <v>30.13487249544626</v>
      </c>
      <c r="H82" s="130">
        <f>D82+F82+G82</f>
        <v>81.38487249544626</v>
      </c>
      <c r="I82" s="137">
        <f>RANK(H82,H$82:H$85,0)</f>
        <v>1</v>
      </c>
    </row>
    <row r="83" spans="1:9" hidden="1" x14ac:dyDescent="0.25">
      <c r="A83" s="332" t="s">
        <v>310</v>
      </c>
      <c r="B83" s="351"/>
      <c r="C83" s="10">
        <f t="shared" si="20"/>
        <v>100</v>
      </c>
      <c r="D83" s="34">
        <f t="shared" ref="D83:D84" si="21">H$78-((B83-B$86)/D$86)</f>
        <v>91.900222440730147</v>
      </c>
      <c r="E83" s="341"/>
      <c r="F83" s="337"/>
      <c r="G83" s="10"/>
      <c r="H83" s="352"/>
      <c r="I83" s="339"/>
    </row>
    <row r="84" spans="1:9" x14ac:dyDescent="0.25">
      <c r="A84" s="13" t="s">
        <v>311</v>
      </c>
      <c r="B84" s="33">
        <v>199734.46</v>
      </c>
      <c r="C84" s="10">
        <f t="shared" si="20"/>
        <v>14.278924734173174</v>
      </c>
      <c r="D84" s="34">
        <f t="shared" si="21"/>
        <v>44.286754592798445</v>
      </c>
      <c r="E84" s="45">
        <v>3</v>
      </c>
      <c r="F84" s="142">
        <f>VLOOKUP(E84,Tablas!A$56:B$66,2,)</f>
        <v>0.625</v>
      </c>
      <c r="G84" s="10">
        <f>'Lote 5'!M43</f>
        <v>35.705681238615668</v>
      </c>
      <c r="H84" s="130">
        <f t="shared" ref="H84:H85" si="22">D84+F84+G84</f>
        <v>80.617435831414113</v>
      </c>
      <c r="I84" s="137">
        <f>RANK(H84,H$82:H$85,0)</f>
        <v>2</v>
      </c>
    </row>
    <row r="85" spans="1:9" x14ac:dyDescent="0.25">
      <c r="A85" s="13" t="s">
        <v>312</v>
      </c>
      <c r="B85" s="33"/>
      <c r="C85" s="10"/>
      <c r="D85" s="34"/>
      <c r="E85" s="45"/>
      <c r="F85" s="142"/>
      <c r="G85" s="10">
        <f>'Lote 5'!M44</f>
        <v>17.525149362477237</v>
      </c>
      <c r="H85" s="130">
        <f t="shared" si="22"/>
        <v>17.525149362477237</v>
      </c>
      <c r="I85" s="137">
        <f>RANK(H85,H$82:H$85,0)</f>
        <v>3</v>
      </c>
    </row>
    <row r="86" spans="1:9" x14ac:dyDescent="0.25">
      <c r="A86" s="35" t="s">
        <v>23</v>
      </c>
      <c r="B86" s="36">
        <f>MIN(B82:B85)</f>
        <v>175767.88</v>
      </c>
      <c r="C86" s="139" t="s">
        <v>24</v>
      </c>
      <c r="D86" s="38">
        <f>F78/H78</f>
        <v>4194.9152000000004</v>
      </c>
      <c r="E86" s="5"/>
    </row>
    <row r="89" spans="1:9" x14ac:dyDescent="0.25">
      <c r="A89" s="30" t="s">
        <v>243</v>
      </c>
      <c r="B89" s="135"/>
      <c r="D89" s="3" t="s">
        <v>0</v>
      </c>
      <c r="E89" s="3"/>
      <c r="F89" s="41">
        <v>50847.46</v>
      </c>
      <c r="G89" s="6" t="s">
        <v>1</v>
      </c>
      <c r="H89" s="138">
        <v>50</v>
      </c>
    </row>
    <row r="90" spans="1:9" x14ac:dyDescent="0.25">
      <c r="A90" s="30"/>
      <c r="B90" s="957" t="s">
        <v>25</v>
      </c>
      <c r="C90" s="958"/>
      <c r="D90" s="958"/>
      <c r="E90" s="958"/>
      <c r="F90" s="959"/>
      <c r="G90" s="136" t="s">
        <v>27</v>
      </c>
      <c r="H90" s="41"/>
      <c r="I90" s="6"/>
    </row>
    <row r="91" spans="1:9" ht="26.4" x14ac:dyDescent="0.25">
      <c r="A91" s="954" t="s">
        <v>16</v>
      </c>
      <c r="B91" s="954" t="s">
        <v>17</v>
      </c>
      <c r="C91" s="954"/>
      <c r="D91" s="954"/>
      <c r="E91" s="954" t="s">
        <v>18</v>
      </c>
      <c r="F91" s="954"/>
      <c r="G91" s="136" t="s">
        <v>28</v>
      </c>
      <c r="H91" s="956" t="s">
        <v>19</v>
      </c>
      <c r="I91" s="956" t="s">
        <v>20</v>
      </c>
    </row>
    <row r="92" spans="1:9" ht="26.4" x14ac:dyDescent="0.25">
      <c r="A92" s="954"/>
      <c r="B92" s="32" t="s">
        <v>235</v>
      </c>
      <c r="C92" s="136" t="s">
        <v>21</v>
      </c>
      <c r="D92" s="136" t="s">
        <v>22</v>
      </c>
      <c r="E92" s="136" t="s">
        <v>26</v>
      </c>
      <c r="F92" s="136" t="s">
        <v>29</v>
      </c>
      <c r="G92" s="136" t="s">
        <v>234</v>
      </c>
      <c r="H92" s="955"/>
      <c r="I92" s="955"/>
    </row>
    <row r="93" spans="1:9" x14ac:dyDescent="0.25">
      <c r="A93" s="13" t="s">
        <v>296</v>
      </c>
      <c r="B93" s="33"/>
      <c r="C93" s="10"/>
      <c r="D93" s="34"/>
      <c r="E93" s="45"/>
      <c r="F93" s="142"/>
      <c r="G93" s="10">
        <f>'Lote 6'!M36</f>
        <v>21.629508198053209</v>
      </c>
      <c r="H93" s="130">
        <f>D93+F93+G93</f>
        <v>21.629508198053209</v>
      </c>
      <c r="I93" s="137">
        <f>RANK(H93,H$93:H$101,0)</f>
        <v>7</v>
      </c>
    </row>
    <row r="94" spans="1:9" x14ac:dyDescent="0.25">
      <c r="A94" s="13" t="s">
        <v>313</v>
      </c>
      <c r="B94" s="33">
        <v>50246</v>
      </c>
      <c r="C94" s="10">
        <f t="shared" ref="C94:C101" si="23">100-((B94*100)/F$64)</f>
        <v>40.533104867596037</v>
      </c>
      <c r="D94" s="34">
        <f>H$89-((B94-B$102)/D$102)</f>
        <v>39.199490004023801</v>
      </c>
      <c r="E94" s="45">
        <v>2</v>
      </c>
      <c r="F94" s="142">
        <f>VLOOKUP(E94,Tablas!A$56:B$66,2,)</f>
        <v>0</v>
      </c>
      <c r="G94" s="10">
        <f>'Lote 6'!M37</f>
        <v>40.1196720823852</v>
      </c>
      <c r="H94" s="130">
        <f t="shared" ref="H94:H101" si="24">D94+F94+G94</f>
        <v>79.319162086408994</v>
      </c>
      <c r="I94" s="137">
        <f t="shared" ref="I94:I101" si="25">RANK(H94,H$93:H$101,0)</f>
        <v>4</v>
      </c>
    </row>
    <row r="95" spans="1:9" x14ac:dyDescent="0.25">
      <c r="A95" s="13" t="s">
        <v>289</v>
      </c>
      <c r="B95" s="33"/>
      <c r="C95" s="10"/>
      <c r="D95" s="34"/>
      <c r="E95" s="45"/>
      <c r="F95" s="142"/>
      <c r="G95" s="10">
        <f>'Lote 6'!M38</f>
        <v>26.044808733155485</v>
      </c>
      <c r="H95" s="130">
        <f t="shared" ref="H95:H97" si="26">D95+F95+G95</f>
        <v>26.044808733155485</v>
      </c>
      <c r="I95" s="163">
        <f t="shared" ref="I95:I97" si="27">RANK(H95,H$93:H$101,0)</f>
        <v>6</v>
      </c>
    </row>
    <row r="96" spans="1:9" x14ac:dyDescent="0.25">
      <c r="A96" s="13" t="s">
        <v>300</v>
      </c>
      <c r="B96" s="33"/>
      <c r="C96" s="10"/>
      <c r="D96" s="34"/>
      <c r="E96" s="45"/>
      <c r="F96" s="142"/>
      <c r="G96" s="10">
        <f>'Lote 6'!M39</f>
        <v>8.7629196044298805</v>
      </c>
      <c r="H96" s="130">
        <f t="shared" si="26"/>
        <v>8.7629196044298805</v>
      </c>
      <c r="I96" s="163">
        <f t="shared" si="27"/>
        <v>9</v>
      </c>
    </row>
    <row r="97" spans="1:10" x14ac:dyDescent="0.25">
      <c r="A97" s="13" t="s">
        <v>314</v>
      </c>
      <c r="B97" s="33">
        <v>47887</v>
      </c>
      <c r="C97" s="10">
        <f t="shared" ref="C97" si="28">100-((B97*100)/F$64)</f>
        <v>43.325016773366464</v>
      </c>
      <c r="D97" s="34">
        <f>H$89-((B97-B$102)/D$102)</f>
        <v>41.519173229105249</v>
      </c>
      <c r="E97" s="45">
        <v>2</v>
      </c>
      <c r="F97" s="142">
        <f>VLOOKUP(E97,Tablas!A$56:B$66,2,)</f>
        <v>0</v>
      </c>
      <c r="G97" s="10">
        <f>'Lote 6'!M40</f>
        <v>30.344330574507307</v>
      </c>
      <c r="H97" s="130">
        <f t="shared" si="26"/>
        <v>71.863503803612559</v>
      </c>
      <c r="I97" s="163">
        <f t="shared" si="27"/>
        <v>5</v>
      </c>
    </row>
    <row r="98" spans="1:10" x14ac:dyDescent="0.25">
      <c r="A98" s="13" t="s">
        <v>303</v>
      </c>
      <c r="B98" s="33">
        <v>39262.43</v>
      </c>
      <c r="C98" s="10">
        <f t="shared" si="23"/>
        <v>53.532324812853737</v>
      </c>
      <c r="D98" s="34">
        <f>H$89-((B98-B$102)/D$102)</f>
        <v>50</v>
      </c>
      <c r="E98" s="45">
        <v>5</v>
      </c>
      <c r="F98" s="142">
        <f>VLOOKUP(E98,Tablas!A$56:B$66,2,)</f>
        <v>1.875</v>
      </c>
      <c r="G98" s="10">
        <f>'Lote 6'!M41</f>
        <v>37.271038242536108</v>
      </c>
      <c r="H98" s="130">
        <f t="shared" si="24"/>
        <v>89.146038242536108</v>
      </c>
      <c r="I98" s="137">
        <f t="shared" si="25"/>
        <v>1</v>
      </c>
    </row>
    <row r="99" spans="1:10" x14ac:dyDescent="0.25">
      <c r="A99" s="13" t="s">
        <v>304</v>
      </c>
      <c r="B99" s="33">
        <v>40209.449999999997</v>
      </c>
      <c r="C99" s="10">
        <f t="shared" si="23"/>
        <v>52.411512429215456</v>
      </c>
      <c r="D99" s="34">
        <f>H$89-((B99-B$102)/D$102)</f>
        <v>49.068763710124365</v>
      </c>
      <c r="E99" s="45">
        <v>6</v>
      </c>
      <c r="F99" s="142">
        <f>VLOOKUP(E99,Tablas!A$56:B$66,2,)</f>
        <v>2.5</v>
      </c>
      <c r="G99" s="10">
        <f>'Lote 6'!M42</f>
        <v>33.045355160203826</v>
      </c>
      <c r="H99" s="130">
        <f t="shared" si="24"/>
        <v>84.614118870328184</v>
      </c>
      <c r="I99" s="137">
        <f t="shared" si="25"/>
        <v>3</v>
      </c>
    </row>
    <row r="100" spans="1:10" x14ac:dyDescent="0.25">
      <c r="A100" s="13" t="s">
        <v>306</v>
      </c>
      <c r="B100" s="33"/>
      <c r="C100" s="10"/>
      <c r="D100" s="34"/>
      <c r="E100" s="45"/>
      <c r="F100" s="142"/>
      <c r="G100" s="10">
        <f>'Lote 6'!M43</f>
        <v>20.891803246722922</v>
      </c>
      <c r="H100" s="130">
        <f t="shared" si="24"/>
        <v>20.891803246722922</v>
      </c>
      <c r="I100" s="137">
        <f t="shared" si="25"/>
        <v>8</v>
      </c>
    </row>
    <row r="101" spans="1:10" x14ac:dyDescent="0.25">
      <c r="A101" s="13" t="s">
        <v>315</v>
      </c>
      <c r="B101" s="33">
        <v>48898.3</v>
      </c>
      <c r="C101" s="10">
        <f t="shared" si="23"/>
        <v>42.12812804496221</v>
      </c>
      <c r="D101" s="34">
        <f>H$89-((B101-B$102)/D$102)</f>
        <v>40.524728275512679</v>
      </c>
      <c r="E101" s="45">
        <v>2</v>
      </c>
      <c r="F101" s="142">
        <f>VLOOKUP(E101,Tablas!A$56:B$66,2,)</f>
        <v>0</v>
      </c>
      <c r="G101" s="10">
        <f>'Lote 6'!M44</f>
        <v>45.653825127005078</v>
      </c>
      <c r="H101" s="130">
        <f t="shared" si="24"/>
        <v>86.178553402517764</v>
      </c>
      <c r="I101" s="137">
        <f t="shared" si="25"/>
        <v>2</v>
      </c>
    </row>
    <row r="102" spans="1:10" x14ac:dyDescent="0.25">
      <c r="A102" s="35" t="s">
        <v>23</v>
      </c>
      <c r="B102" s="36">
        <f>MIN(B93:B101)</f>
        <v>39262.43</v>
      </c>
      <c r="C102" s="139" t="s">
        <v>24</v>
      </c>
      <c r="D102" s="38">
        <f>F89/H89</f>
        <v>1016.9492</v>
      </c>
      <c r="E102" s="5"/>
    </row>
    <row r="104" spans="1:10" hidden="1" x14ac:dyDescent="0.25">
      <c r="B104" s="940" t="s">
        <v>1125</v>
      </c>
    </row>
    <row r="105" spans="1:10" hidden="1" x14ac:dyDescent="0.25"/>
    <row r="106" spans="1:10" ht="14.4" hidden="1" x14ac:dyDescent="0.3">
      <c r="A106" s="118" t="s">
        <v>209</v>
      </c>
      <c r="B106" s="917" t="s">
        <v>784</v>
      </c>
      <c r="C106" s="27"/>
      <c r="D106" s="917"/>
      <c r="E106" s="917" t="s">
        <v>210</v>
      </c>
      <c r="I106" s="917"/>
      <c r="J106" s="917"/>
    </row>
    <row r="107" spans="1:10" hidden="1" x14ac:dyDescent="0.25">
      <c r="C107" s="27"/>
    </row>
    <row r="108" spans="1:10" hidden="1" x14ac:dyDescent="0.25">
      <c r="C108" s="27"/>
    </row>
    <row r="109" spans="1:10" hidden="1" x14ac:dyDescent="0.25">
      <c r="C109" s="27"/>
    </row>
    <row r="110" spans="1:10" ht="14.4" hidden="1" x14ac:dyDescent="0.3">
      <c r="A110" s="118" t="s">
        <v>785</v>
      </c>
      <c r="B110" s="917" t="s">
        <v>786</v>
      </c>
      <c r="C110" s="917"/>
      <c r="D110" s="917"/>
      <c r="E110" s="917" t="s">
        <v>787</v>
      </c>
      <c r="I110" s="917"/>
    </row>
    <row r="111" spans="1:10" hidden="1" x14ac:dyDescent="0.25"/>
  </sheetData>
  <mergeCells count="36">
    <mergeCell ref="I80:I81"/>
    <mergeCell ref="B90:F90"/>
    <mergeCell ref="A91:A92"/>
    <mergeCell ref="B91:D91"/>
    <mergeCell ref="E91:F91"/>
    <mergeCell ref="H91:H92"/>
    <mergeCell ref="I91:I92"/>
    <mergeCell ref="B79:F79"/>
    <mergeCell ref="A80:A81"/>
    <mergeCell ref="B80:D80"/>
    <mergeCell ref="E80:F80"/>
    <mergeCell ref="H80:H81"/>
    <mergeCell ref="B52:D52"/>
    <mergeCell ref="I28:I29"/>
    <mergeCell ref="B51:F51"/>
    <mergeCell ref="B13:F13"/>
    <mergeCell ref="E14:F14"/>
    <mergeCell ref="H14:H15"/>
    <mergeCell ref="I14:I15"/>
    <mergeCell ref="H28:H29"/>
    <mergeCell ref="A14:A15"/>
    <mergeCell ref="B14:D14"/>
    <mergeCell ref="I66:I67"/>
    <mergeCell ref="H52:H53"/>
    <mergeCell ref="I52:I53"/>
    <mergeCell ref="E52:F52"/>
    <mergeCell ref="E66:F66"/>
    <mergeCell ref="B65:F65"/>
    <mergeCell ref="H66:H67"/>
    <mergeCell ref="A66:A67"/>
    <mergeCell ref="B66:D66"/>
    <mergeCell ref="B27:F27"/>
    <mergeCell ref="E28:F28"/>
    <mergeCell ref="A28:A29"/>
    <mergeCell ref="B28:D28"/>
    <mergeCell ref="A52:A53"/>
  </mergeCells>
  <phoneticPr fontId="0" type="noConversion"/>
  <conditionalFormatting sqref="C82:D84 G32:G37 G44:G46">
    <cfRule type="cellIs" dxfId="61" priority="85" operator="greaterThan">
      <formula>30</formula>
    </cfRule>
    <cfRule type="cellIs" dxfId="60" priority="86" operator="greaterThan">
      <formula>30</formula>
    </cfRule>
  </conditionalFormatting>
  <conditionalFormatting sqref="I30:I47 I54:I60 I16:I22 I68:I74 I82:I85 I93:I101">
    <cfRule type="cellIs" dxfId="59" priority="82" operator="equal">
      <formula>1</formula>
    </cfRule>
  </conditionalFormatting>
  <conditionalFormatting sqref="G74 H16:H22">
    <cfRule type="cellIs" dxfId="58" priority="80" operator="greaterThan">
      <formula>"29.9"</formula>
    </cfRule>
  </conditionalFormatting>
  <conditionalFormatting sqref="G16:G22">
    <cfRule type="cellIs" dxfId="57" priority="76" operator="greaterThan">
      <formula>29.9</formula>
    </cfRule>
    <cfRule type="cellIs" dxfId="56" priority="77" operator="greaterThan">
      <formula>"29.9"</formula>
    </cfRule>
    <cfRule type="cellIs" dxfId="55" priority="78" operator="greaterThan">
      <formula>"29.9"</formula>
    </cfRule>
  </conditionalFormatting>
  <conditionalFormatting sqref="G68:G74">
    <cfRule type="cellIs" dxfId="54" priority="74" operator="greaterThan">
      <formula>29.9</formula>
    </cfRule>
  </conditionalFormatting>
  <conditionalFormatting sqref="G82:G85">
    <cfRule type="cellIs" dxfId="53" priority="71" operator="greaterThan">
      <formula>30</formula>
    </cfRule>
    <cfRule type="cellIs" dxfId="52" priority="72" operator="greaterThan">
      <formula>"29.9"</formula>
    </cfRule>
  </conditionalFormatting>
  <conditionalFormatting sqref="G93:G101">
    <cfRule type="cellIs" dxfId="51" priority="28" operator="greaterThan">
      <formula>30</formula>
    </cfRule>
    <cfRule type="cellIs" dxfId="50" priority="69" operator="greaterThan">
      <formula>30</formula>
    </cfRule>
  </conditionalFormatting>
  <conditionalFormatting sqref="A18:F20">
    <cfRule type="cellIs" dxfId="49" priority="37" operator="lessThan">
      <formula>110</formula>
    </cfRule>
    <cfRule type="cellIs" dxfId="48" priority="66" operator="greaterThan">
      <formula>30</formula>
    </cfRule>
    <cfRule type="cellIs" dxfId="47" priority="67" operator="greaterThan">
      <formula>30</formula>
    </cfRule>
  </conditionalFormatting>
  <conditionalFormatting sqref="A22:D22 A101:D101 A70:D74 A82:D84 A94:D94 A97:F99">
    <cfRule type="cellIs" dxfId="46" priority="65" operator="greaterThan">
      <formula>30</formula>
    </cfRule>
  </conditionalFormatting>
  <conditionalFormatting sqref="A22:F22">
    <cfRule type="cellIs" dxfId="45" priority="35" operator="lessThan">
      <formula>110</formula>
    </cfRule>
    <cfRule type="cellIs" dxfId="44" priority="36" operator="lessThan">
      <formula>110</formula>
    </cfRule>
  </conditionalFormatting>
  <conditionalFormatting sqref="A97:G99 A101:G101 A70:F74 A82:F84 A94:F94">
    <cfRule type="cellIs" dxfId="43" priority="34" operator="lessThan">
      <formula>110</formula>
    </cfRule>
  </conditionalFormatting>
  <conditionalFormatting sqref="E56:G59 A56:D56 A58:D59">
    <cfRule type="cellIs" dxfId="42" priority="23" operator="greaterThan">
      <formula>30</formula>
    </cfRule>
  </conditionalFormatting>
  <conditionalFormatting sqref="B56">
    <cfRule type="cellIs" dxfId="41" priority="22" operator="greaterThan">
      <formula>30</formula>
    </cfRule>
  </conditionalFormatting>
  <conditionalFormatting sqref="B56">
    <cfRule type="cellIs" dxfId="40" priority="21" operator="lessThan">
      <formula>110</formula>
    </cfRule>
  </conditionalFormatting>
  <conditionalFormatting sqref="B59">
    <cfRule type="cellIs" dxfId="39" priority="20" operator="greaterThan">
      <formula>30</formula>
    </cfRule>
  </conditionalFormatting>
  <conditionalFormatting sqref="B59">
    <cfRule type="cellIs" dxfId="38" priority="19" operator="lessThan">
      <formula>110</formula>
    </cfRule>
  </conditionalFormatting>
  <conditionalFormatting sqref="F56">
    <cfRule type="cellIs" dxfId="37" priority="18" operator="greaterThan">
      <formula>30</formula>
    </cfRule>
  </conditionalFormatting>
  <conditionalFormatting sqref="F56">
    <cfRule type="cellIs" dxfId="36" priority="17" operator="lessThan">
      <formula>110</formula>
    </cfRule>
  </conditionalFormatting>
  <conditionalFormatting sqref="F59">
    <cfRule type="cellIs" dxfId="35" priority="16" operator="greaterThan">
      <formula>30</formula>
    </cfRule>
  </conditionalFormatting>
  <conditionalFormatting sqref="F59">
    <cfRule type="cellIs" dxfId="34" priority="15" operator="lessThan">
      <formula>110</formula>
    </cfRule>
  </conditionalFormatting>
  <conditionalFormatting sqref="E56">
    <cfRule type="cellIs" dxfId="33" priority="14" operator="greaterThan">
      <formula>30</formula>
    </cfRule>
  </conditionalFormatting>
  <conditionalFormatting sqref="E56">
    <cfRule type="cellIs" dxfId="32" priority="13" operator="lessThan">
      <formula>110</formula>
    </cfRule>
  </conditionalFormatting>
  <conditionalFormatting sqref="E59">
    <cfRule type="cellIs" dxfId="31" priority="12" operator="greaterThan">
      <formula>30</formula>
    </cfRule>
  </conditionalFormatting>
  <conditionalFormatting sqref="E59">
    <cfRule type="cellIs" dxfId="30" priority="11" operator="lessThan">
      <formula>110</formula>
    </cfRule>
  </conditionalFormatting>
  <conditionalFormatting sqref="D94">
    <cfRule type="cellIs" dxfId="29" priority="9" operator="greaterThan">
      <formula>30</formula>
    </cfRule>
    <cfRule type="cellIs" dxfId="28" priority="10" operator="greaterThan">
      <formula>30</formula>
    </cfRule>
  </conditionalFormatting>
  <conditionalFormatting sqref="D97">
    <cfRule type="cellIs" dxfId="27" priority="7" operator="greaterThan">
      <formula>30</formula>
    </cfRule>
    <cfRule type="cellIs" dxfId="26" priority="8" operator="greaterThan">
      <formula>30</formula>
    </cfRule>
  </conditionalFormatting>
  <conditionalFormatting sqref="D98">
    <cfRule type="cellIs" dxfId="25" priority="5" operator="greaterThan">
      <formula>30</formula>
    </cfRule>
    <cfRule type="cellIs" dxfId="24" priority="6" operator="greaterThan">
      <formula>30</formula>
    </cfRule>
  </conditionalFormatting>
  <conditionalFormatting sqref="D99">
    <cfRule type="cellIs" dxfId="23" priority="3" operator="greaterThan">
      <formula>30</formula>
    </cfRule>
    <cfRule type="cellIs" dxfId="22" priority="4" operator="greaterThan">
      <formula>30</formula>
    </cfRule>
  </conditionalFormatting>
  <conditionalFormatting sqref="D101">
    <cfRule type="cellIs" dxfId="21" priority="1" operator="greaterThan">
      <formula>30</formula>
    </cfRule>
    <cfRule type="cellIs" dxfId="20" priority="2" operator="greaterThan">
      <formula>30</formula>
    </cfRule>
  </conditionalFormatting>
  <pageMargins left="0.78740157480314965" right="0.35433070866141736" top="0.51181102362204722" bottom="0.35433070866141736" header="0" footer="0"/>
  <pageSetup paperSize="9" scale="58" orientation="portrait" r:id="rId1"/>
  <headerFooter alignWithMargins="0">
    <oddHeader>&amp;LANEXO I:&amp;CDETECTADO Y SUBSANADO ERROR DE OFICIO</oddHeader>
  </headerFooter>
  <ignoredErrors>
    <ignoredError sqref="H4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85" zoomScaleSheetLayoutView="100" workbookViewId="0">
      <selection activeCell="B45" sqref="B45:K46"/>
    </sheetView>
  </sheetViews>
  <sheetFormatPr baseColWidth="10" defaultRowHeight="13.2" x14ac:dyDescent="0.25"/>
  <cols>
    <col min="1" max="1" width="10.5546875" customWidth="1"/>
    <col min="2" max="2" width="79.109375" bestFit="1" customWidth="1"/>
    <col min="3" max="3" width="13.6640625" customWidth="1"/>
    <col min="4" max="4" width="13.109375" customWidth="1"/>
    <col min="5" max="5" width="17.109375" customWidth="1"/>
    <col min="6" max="6" width="13.5546875" bestFit="1" customWidth="1"/>
    <col min="9" max="10" width="13.109375" bestFit="1" customWidth="1"/>
    <col min="11" max="11" width="12.109375" bestFit="1" customWidth="1"/>
    <col min="12" max="12" width="13.109375" bestFit="1" customWidth="1"/>
    <col min="13" max="13" width="15.109375" customWidth="1"/>
  </cols>
  <sheetData>
    <row r="1" spans="1:12" x14ac:dyDescent="0.25">
      <c r="A1" s="16" t="str">
        <f>Empresas!A1</f>
        <v>EXPEDIENTE Nº 495/11</v>
      </c>
      <c r="B1" s="16"/>
      <c r="C1" s="16"/>
      <c r="D1" s="16"/>
      <c r="E1" s="16"/>
      <c r="F1" s="16"/>
    </row>
    <row r="2" spans="1:12" ht="13.8" thickBot="1" x14ac:dyDescent="0.3">
      <c r="A2" s="16" t="str">
        <f>Empresas!A2</f>
        <v>SUMINISTRO  E INSTALACIÓN DE DIVERSO EQUIPAMIENTO PARA EL EDIFICIO DE GOBIERNO</v>
      </c>
      <c r="B2" s="17"/>
      <c r="C2" s="17"/>
      <c r="E2" s="16"/>
      <c r="F2" s="16"/>
      <c r="G2" s="16"/>
    </row>
    <row r="3" spans="1:12" s="12" customFormat="1" x14ac:dyDescent="0.25">
      <c r="A3" s="2"/>
      <c r="B3" s="2"/>
      <c r="C3" s="2"/>
      <c r="D3" s="2"/>
      <c r="E3" s="16"/>
      <c r="F3" s="16"/>
    </row>
    <row r="4" spans="1:12" ht="13.8" x14ac:dyDescent="0.25">
      <c r="A4" s="78"/>
      <c r="B4" s="79"/>
      <c r="C4" s="79"/>
      <c r="D4" s="79"/>
      <c r="E4" s="15"/>
      <c r="F4" s="15"/>
      <c r="G4" s="15"/>
      <c r="H4" s="5"/>
    </row>
    <row r="5" spans="1:12" ht="14.25" customHeight="1" x14ac:dyDescent="0.25">
      <c r="A5" s="3" t="str">
        <f>Empresas!A78</f>
        <v>LOTE 5: MULTIMEDIA SALA REUNIONES Y SALA ESPERA</v>
      </c>
      <c r="B5" s="3"/>
      <c r="C5" s="80"/>
      <c r="D5" s="4"/>
      <c r="F5" s="81">
        <f>Empresas!F78</f>
        <v>209745.76</v>
      </c>
      <c r="G5" s="6" t="s">
        <v>1</v>
      </c>
      <c r="H5" s="165">
        <v>45</v>
      </c>
    </row>
    <row r="6" spans="1:12" ht="14.25" customHeight="1" x14ac:dyDescent="0.25">
      <c r="A6" s="3"/>
      <c r="B6" s="3"/>
      <c r="C6" s="3"/>
      <c r="D6" s="4"/>
      <c r="E6" s="5"/>
      <c r="F6" s="6"/>
      <c r="G6" s="165"/>
    </row>
    <row r="8" spans="1:12" ht="39.6" x14ac:dyDescent="0.25">
      <c r="A8" s="55" t="s">
        <v>192</v>
      </c>
      <c r="B8" s="7" t="s">
        <v>6</v>
      </c>
      <c r="C8" s="7" t="s">
        <v>7</v>
      </c>
      <c r="D8" s="18" t="s">
        <v>54</v>
      </c>
      <c r="E8" s="18" t="s">
        <v>55</v>
      </c>
      <c r="F8" s="18" t="s">
        <v>111</v>
      </c>
      <c r="G8" s="8" t="s">
        <v>4</v>
      </c>
    </row>
    <row r="9" spans="1:12" x14ac:dyDescent="0.25">
      <c r="A9" s="13" t="s">
        <v>830</v>
      </c>
      <c r="B9" s="13" t="s">
        <v>831</v>
      </c>
      <c r="C9" s="42">
        <v>1</v>
      </c>
      <c r="D9" s="348">
        <v>64440.68</v>
      </c>
      <c r="E9" s="348">
        <f>D9*1.18</f>
        <v>76040.002399999998</v>
      </c>
      <c r="F9" s="348">
        <f t="shared" ref="F9:F17" si="0">C9*E9</f>
        <v>76040.002399999998</v>
      </c>
      <c r="G9" s="82">
        <f>(F9*100)/$F$21</f>
        <v>29.715914552776724</v>
      </c>
      <c r="K9" s="135"/>
      <c r="L9" s="135"/>
    </row>
    <row r="10" spans="1:12" x14ac:dyDescent="0.25">
      <c r="A10" s="13" t="s">
        <v>828</v>
      </c>
      <c r="B10" s="13" t="s">
        <v>829</v>
      </c>
      <c r="C10" s="42">
        <v>1</v>
      </c>
      <c r="D10" s="348">
        <v>52118.64</v>
      </c>
      <c r="E10" s="348">
        <f t="shared" ref="E10:E17" si="1">D10*1.18</f>
        <v>61499.995199999998</v>
      </c>
      <c r="F10" s="348">
        <f t="shared" si="0"/>
        <v>61499.995199999998</v>
      </c>
      <c r="G10" s="82">
        <f t="shared" ref="G10:G20" si="2">(F10*100)/$F$21</f>
        <v>24.033778862155565</v>
      </c>
      <c r="K10" s="135"/>
      <c r="L10" s="135"/>
    </row>
    <row r="11" spans="1:12" x14ac:dyDescent="0.25">
      <c r="A11" s="13" t="s">
        <v>826</v>
      </c>
      <c r="B11" s="13" t="s">
        <v>827</v>
      </c>
      <c r="C11" s="42">
        <v>1</v>
      </c>
      <c r="D11" s="348">
        <v>45330.51</v>
      </c>
      <c r="E11" s="348">
        <f t="shared" si="1"/>
        <v>53490.001799999998</v>
      </c>
      <c r="F11" s="348">
        <f t="shared" si="0"/>
        <v>53490.001799999998</v>
      </c>
      <c r="G11" s="82">
        <f t="shared" si="2"/>
        <v>20.903528047714435</v>
      </c>
      <c r="K11" s="135"/>
      <c r="L11" s="135"/>
    </row>
    <row r="12" spans="1:12" x14ac:dyDescent="0.25">
      <c r="A12" s="13" t="s">
        <v>824</v>
      </c>
      <c r="B12" s="13" t="s">
        <v>825</v>
      </c>
      <c r="C12" s="42">
        <v>1</v>
      </c>
      <c r="D12" s="617">
        <f>14659.32+1720.02</f>
        <v>16379.34</v>
      </c>
      <c r="E12" s="348">
        <f t="shared" si="1"/>
        <v>19327.621199999998</v>
      </c>
      <c r="F12" s="348">
        <f t="shared" si="0"/>
        <v>19327.621199999998</v>
      </c>
      <c r="G12" s="82">
        <f t="shared" si="2"/>
        <v>7.5531026033691431</v>
      </c>
      <c r="K12" s="135"/>
      <c r="L12" s="135"/>
    </row>
    <row r="13" spans="1:12" x14ac:dyDescent="0.25">
      <c r="A13" s="13" t="s">
        <v>822</v>
      </c>
      <c r="B13" s="13" t="s">
        <v>823</v>
      </c>
      <c r="C13" s="42">
        <v>1</v>
      </c>
      <c r="D13" s="348">
        <v>3896.61</v>
      </c>
      <c r="E13" s="348">
        <f t="shared" si="1"/>
        <v>4597.9997999999996</v>
      </c>
      <c r="F13" s="348">
        <f t="shared" si="0"/>
        <v>4597.9997999999996</v>
      </c>
      <c r="G13" s="82">
        <f t="shared" si="2"/>
        <v>1.7968669760389757</v>
      </c>
      <c r="K13" s="135"/>
      <c r="L13" s="135"/>
    </row>
    <row r="14" spans="1:12" x14ac:dyDescent="0.25">
      <c r="A14" s="13" t="s">
        <v>820</v>
      </c>
      <c r="B14" s="13" t="s">
        <v>821</v>
      </c>
      <c r="C14" s="42">
        <v>1</v>
      </c>
      <c r="D14" s="348">
        <v>4828.8100000000004</v>
      </c>
      <c r="E14" s="348">
        <f t="shared" si="1"/>
        <v>5697.9958000000006</v>
      </c>
      <c r="F14" s="348">
        <f t="shared" si="0"/>
        <v>5697.9958000000006</v>
      </c>
      <c r="G14" s="82">
        <f t="shared" si="2"/>
        <v>2.2267379138704588</v>
      </c>
      <c r="K14" s="135"/>
      <c r="L14" s="135"/>
    </row>
    <row r="15" spans="1:12" x14ac:dyDescent="0.25">
      <c r="A15" s="13" t="s">
        <v>816</v>
      </c>
      <c r="B15" s="13" t="s">
        <v>817</v>
      </c>
      <c r="C15" s="42">
        <v>1</v>
      </c>
      <c r="D15" s="348">
        <v>3415.25</v>
      </c>
      <c r="E15" s="348">
        <f t="shared" si="1"/>
        <v>4029.9949999999999</v>
      </c>
      <c r="F15" s="348">
        <f t="shared" si="0"/>
        <v>4029.9949999999999</v>
      </c>
      <c r="G15" s="82">
        <f t="shared" si="2"/>
        <v>1.5748945724404322</v>
      </c>
      <c r="K15" s="135"/>
      <c r="L15" s="135"/>
    </row>
    <row r="16" spans="1:12" x14ac:dyDescent="0.25">
      <c r="A16" s="13" t="s">
        <v>814</v>
      </c>
      <c r="B16" s="13" t="s">
        <v>815</v>
      </c>
      <c r="C16" s="42">
        <v>1</v>
      </c>
      <c r="D16" s="348">
        <v>9659.32</v>
      </c>
      <c r="E16" s="348">
        <f t="shared" si="1"/>
        <v>11397.997599999999</v>
      </c>
      <c r="F16" s="348">
        <f t="shared" si="0"/>
        <v>11397.997599999999</v>
      </c>
      <c r="G16" s="82">
        <f t="shared" si="2"/>
        <v>4.454259758865474</v>
      </c>
      <c r="K16" s="135"/>
      <c r="L16" s="135"/>
    </row>
    <row r="17" spans="1:14" x14ac:dyDescent="0.25">
      <c r="A17" s="13" t="s">
        <v>818</v>
      </c>
      <c r="B17" s="13" t="s">
        <v>819</v>
      </c>
      <c r="C17" s="42">
        <v>4</v>
      </c>
      <c r="D17" s="348">
        <v>2419.15</v>
      </c>
      <c r="E17" s="348">
        <f t="shared" si="1"/>
        <v>2854.5969999999998</v>
      </c>
      <c r="F17" s="348">
        <f t="shared" si="0"/>
        <v>11418.387999999999</v>
      </c>
      <c r="G17" s="82">
        <f t="shared" si="2"/>
        <v>4.462228188178635</v>
      </c>
      <c r="K17" s="135"/>
      <c r="L17" s="135"/>
    </row>
    <row r="18" spans="1:14" x14ac:dyDescent="0.25">
      <c r="A18" s="12"/>
      <c r="B18" s="612" t="s">
        <v>354</v>
      </c>
      <c r="C18" s="516">
        <v>1</v>
      </c>
      <c r="D18" s="512"/>
      <c r="E18" s="9">
        <f>F5/100</f>
        <v>2097.4576000000002</v>
      </c>
      <c r="F18" s="60">
        <f>C18*E18</f>
        <v>2097.4576000000002</v>
      </c>
      <c r="G18" s="82">
        <f t="shared" si="2"/>
        <v>0.81967213114754112</v>
      </c>
      <c r="J18" s="135"/>
      <c r="K18" s="113"/>
      <c r="L18" s="135"/>
    </row>
    <row r="19" spans="1:14" x14ac:dyDescent="0.25">
      <c r="A19" s="12"/>
      <c r="B19" s="436" t="s">
        <v>654</v>
      </c>
      <c r="C19" s="516">
        <v>1</v>
      </c>
      <c r="D19" s="512"/>
      <c r="E19" s="9">
        <f>F5/100</f>
        <v>2097.4576000000002</v>
      </c>
      <c r="F19" s="60">
        <f>C19*E19</f>
        <v>2097.4576000000002</v>
      </c>
      <c r="G19" s="82">
        <f t="shared" si="2"/>
        <v>0.81967213114754112</v>
      </c>
      <c r="K19" s="113"/>
    </row>
    <row r="20" spans="1:14" x14ac:dyDescent="0.25">
      <c r="A20" s="12"/>
      <c r="B20" s="436" t="s">
        <v>355</v>
      </c>
      <c r="C20" s="516">
        <v>1</v>
      </c>
      <c r="D20" s="512"/>
      <c r="E20" s="9">
        <f>(F5*2)/100</f>
        <v>4194.9152000000004</v>
      </c>
      <c r="F20" s="60">
        <f>C20*E20</f>
        <v>4194.9152000000004</v>
      </c>
      <c r="G20" s="82">
        <f t="shared" si="2"/>
        <v>1.6393442622950822</v>
      </c>
      <c r="K20" s="113"/>
      <c r="L20" s="135"/>
    </row>
    <row r="21" spans="1:14" x14ac:dyDescent="0.25">
      <c r="A21" s="12"/>
      <c r="B21" s="344"/>
      <c r="E21" s="11"/>
      <c r="F21" s="347">
        <f>SUM(F9:F20)</f>
        <v>255889.82719999997</v>
      </c>
      <c r="G21" s="346">
        <f>SUM(G9:G20)</f>
        <v>100</v>
      </c>
      <c r="K21" s="113"/>
    </row>
    <row r="22" spans="1:14" x14ac:dyDescent="0.25">
      <c r="A22" s="12"/>
      <c r="B22" s="344"/>
      <c r="E22" s="11"/>
      <c r="F22" s="345"/>
      <c r="G22" s="346"/>
      <c r="K22" s="113"/>
    </row>
    <row r="23" spans="1:14" x14ac:dyDescent="0.25">
      <c r="A23" s="1071" t="s">
        <v>9</v>
      </c>
      <c r="B23" s="1072"/>
      <c r="C23" s="1068" t="str">
        <f>Empresas!A82</f>
        <v>ELPRO</v>
      </c>
      <c r="D23" s="1069"/>
      <c r="E23" s="1069"/>
      <c r="F23" s="1070"/>
      <c r="G23" s="1068" t="str">
        <f>Empresas!A84</f>
        <v>UTE BGL ALMERIMATIK</v>
      </c>
      <c r="H23" s="1069"/>
      <c r="I23" s="1069"/>
      <c r="J23" s="1070"/>
      <c r="K23" s="1068" t="str">
        <f>Empresas!A85</f>
        <v>VITELSA</v>
      </c>
      <c r="L23" s="1069"/>
      <c r="M23" s="1069"/>
      <c r="N23" s="1070"/>
    </row>
    <row r="24" spans="1:14" x14ac:dyDescent="0.25">
      <c r="A24" s="520"/>
      <c r="B24" s="1073" t="s">
        <v>10</v>
      </c>
      <c r="C24" s="1044" t="s">
        <v>14</v>
      </c>
      <c r="D24" s="1044"/>
      <c r="E24" s="1044"/>
      <c r="F24" s="1044"/>
      <c r="G24" s="1044" t="s">
        <v>14</v>
      </c>
      <c r="H24" s="1044"/>
      <c r="I24" s="1044"/>
      <c r="J24" s="1044"/>
      <c r="K24" s="1044" t="s">
        <v>14</v>
      </c>
      <c r="L24" s="1044"/>
      <c r="M24" s="1044"/>
      <c r="N24" s="1044"/>
    </row>
    <row r="25" spans="1:14" ht="39.6" x14ac:dyDescent="0.25">
      <c r="A25" s="521"/>
      <c r="B25" s="1074"/>
      <c r="C25" s="517" t="s">
        <v>11</v>
      </c>
      <c r="D25" s="518" t="s">
        <v>12</v>
      </c>
      <c r="E25" s="517" t="s">
        <v>13</v>
      </c>
      <c r="F25" s="519" t="s">
        <v>190</v>
      </c>
      <c r="G25" s="517" t="s">
        <v>11</v>
      </c>
      <c r="H25" s="518" t="s">
        <v>12</v>
      </c>
      <c r="I25" s="517" t="s">
        <v>13</v>
      </c>
      <c r="J25" s="519" t="s">
        <v>190</v>
      </c>
      <c r="K25" s="517" t="s">
        <v>11</v>
      </c>
      <c r="L25" s="518" t="s">
        <v>12</v>
      </c>
      <c r="M25" s="517" t="s">
        <v>13</v>
      </c>
      <c r="N25" s="519" t="s">
        <v>190</v>
      </c>
    </row>
    <row r="26" spans="1:14" x14ac:dyDescent="0.25">
      <c r="A26" s="13" t="str">
        <f>A9</f>
        <v>Y0026</v>
      </c>
      <c r="B26" s="13" t="str">
        <f>B9</f>
        <v>SALA JUNTAS EQ. GOBIERNO: MOBILIARIO</v>
      </c>
      <c r="C26" s="628">
        <f>'Lote 5 - Items'!D105</f>
        <v>32.666666666666664</v>
      </c>
      <c r="D26" s="25">
        <f>G9</f>
        <v>29.715914552776724</v>
      </c>
      <c r="E26" s="25">
        <f>(C26*D26)/100</f>
        <v>9.7071987539070612</v>
      </c>
      <c r="F26" s="1046">
        <f>'Lote 5 - Items'!D108</f>
        <v>29.593888888888884</v>
      </c>
      <c r="G26" s="628">
        <f>'Lote 5 - Items'!F105</f>
        <v>39.666666666666664</v>
      </c>
      <c r="H26" s="25">
        <f>G9</f>
        <v>29.715914552776724</v>
      </c>
      <c r="I26" s="25">
        <f>(G26*H26)/100</f>
        <v>11.787312772601434</v>
      </c>
      <c r="J26" s="1046">
        <f>'Lote 5 - Items'!F108</f>
        <v>34.353222222222222</v>
      </c>
      <c r="K26" s="628">
        <f>'Lote 5 - Items'!H105</f>
        <v>7.333333333333333</v>
      </c>
      <c r="L26" s="25">
        <f>G9</f>
        <v>29.715914552776724</v>
      </c>
      <c r="M26" s="25">
        <f>(K26*L26)/100</f>
        <v>2.1791670672036263</v>
      </c>
      <c r="N26" s="1046">
        <f>'Lote 5 - Items'!H108</f>
        <v>16.78744444444445</v>
      </c>
    </row>
    <row r="27" spans="1:14" x14ac:dyDescent="0.25">
      <c r="A27" s="13" t="str">
        <f t="shared" ref="A27:B27" si="3">A10</f>
        <v>Y0021</v>
      </c>
      <c r="B27" s="13" t="str">
        <f t="shared" si="3"/>
        <v>SALA JUNTAS EQ. GOBIERNO: SISTEMA DE DEBATE Y VOTACIÓN</v>
      </c>
      <c r="C27" s="628">
        <v>27</v>
      </c>
      <c r="D27" s="25">
        <f t="shared" ref="D27:D34" si="4">G10</f>
        <v>24.033778862155565</v>
      </c>
      <c r="E27" s="25">
        <f t="shared" ref="E27:E34" si="5">(C27*D27)/100</f>
        <v>6.4891202927820029</v>
      </c>
      <c r="F27" s="1046"/>
      <c r="G27" s="24"/>
      <c r="H27" s="25">
        <f t="shared" ref="H27:H34" si="6">G10</f>
        <v>24.033778862155565</v>
      </c>
      <c r="I27" s="25">
        <f t="shared" ref="I27:I34" si="7">(G27*H27)/100</f>
        <v>0</v>
      </c>
      <c r="J27" s="1046"/>
      <c r="K27" s="24"/>
      <c r="L27" s="25">
        <f t="shared" ref="L27:L34" si="8">G10</f>
        <v>24.033778862155565</v>
      </c>
      <c r="M27" s="25">
        <f t="shared" ref="M27:M34" si="9">(K27*L27)/100</f>
        <v>0</v>
      </c>
      <c r="N27" s="1046"/>
    </row>
    <row r="28" spans="1:14" x14ac:dyDescent="0.25">
      <c r="A28" s="13" t="str">
        <f t="shared" ref="A28:B28" si="10">A11</f>
        <v>Y0024</v>
      </c>
      <c r="B28" s="13" t="str">
        <f t="shared" si="10"/>
        <v>SALA JUNTAS EQ. GOBIERNO: SISTEMA DE MONITORADO Y CAJAS DE CONEXIONES</v>
      </c>
      <c r="C28" s="24"/>
      <c r="D28" s="25">
        <f t="shared" si="4"/>
        <v>20.903528047714435</v>
      </c>
      <c r="E28" s="25">
        <f t="shared" si="5"/>
        <v>0</v>
      </c>
      <c r="F28" s="1046"/>
      <c r="G28" s="24"/>
      <c r="H28" s="25">
        <f t="shared" si="6"/>
        <v>20.903528047714435</v>
      </c>
      <c r="I28" s="25">
        <f t="shared" si="7"/>
        <v>0</v>
      </c>
      <c r="J28" s="1046"/>
      <c r="K28" s="24"/>
      <c r="L28" s="25">
        <f t="shared" si="8"/>
        <v>20.903528047714435</v>
      </c>
      <c r="M28" s="25">
        <f t="shared" si="9"/>
        <v>0</v>
      </c>
      <c r="N28" s="1046"/>
    </row>
    <row r="29" spans="1:14" x14ac:dyDescent="0.25">
      <c r="A29" s="13" t="str">
        <f t="shared" ref="A29:B29" si="11">A12</f>
        <v>Y0022</v>
      </c>
      <c r="B29" s="13" t="str">
        <f t="shared" si="11"/>
        <v>SALA JUNTAS EQ. GOBIERNO: SISTEMA DE AUDIO</v>
      </c>
      <c r="C29" s="24"/>
      <c r="D29" s="25">
        <f t="shared" si="4"/>
        <v>7.5531026033691431</v>
      </c>
      <c r="E29" s="25">
        <f t="shared" si="5"/>
        <v>0</v>
      </c>
      <c r="F29" s="1046"/>
      <c r="G29" s="24"/>
      <c r="H29" s="25">
        <f t="shared" si="6"/>
        <v>7.5531026033691431</v>
      </c>
      <c r="I29" s="25">
        <f t="shared" si="7"/>
        <v>0</v>
      </c>
      <c r="J29" s="1046"/>
      <c r="K29" s="24"/>
      <c r="L29" s="25">
        <f t="shared" si="8"/>
        <v>7.5531026033691431</v>
      </c>
      <c r="M29" s="25">
        <f t="shared" si="9"/>
        <v>0</v>
      </c>
      <c r="N29" s="1046"/>
    </row>
    <row r="30" spans="1:14" x14ac:dyDescent="0.25">
      <c r="A30" s="13" t="str">
        <f t="shared" ref="A30:B30" si="12">A13</f>
        <v>Y0018</v>
      </c>
      <c r="B30" s="13" t="str">
        <f t="shared" si="12"/>
        <v>SALA JUNTAS EQ. GOBIERNO: SISTEMA DE VIDEO</v>
      </c>
      <c r="C30" s="24"/>
      <c r="D30" s="25">
        <f t="shared" si="4"/>
        <v>1.7968669760389757</v>
      </c>
      <c r="E30" s="25">
        <f t="shared" si="5"/>
        <v>0</v>
      </c>
      <c r="F30" s="1046"/>
      <c r="G30" s="24"/>
      <c r="H30" s="25">
        <f t="shared" si="6"/>
        <v>1.7968669760389757</v>
      </c>
      <c r="I30" s="25">
        <f t="shared" si="7"/>
        <v>0</v>
      </c>
      <c r="J30" s="1046"/>
      <c r="K30" s="24"/>
      <c r="L30" s="25">
        <f t="shared" si="8"/>
        <v>1.7968669760389757</v>
      </c>
      <c r="M30" s="25">
        <f t="shared" si="9"/>
        <v>0</v>
      </c>
      <c r="N30" s="1046"/>
    </row>
    <row r="31" spans="1:14" x14ac:dyDescent="0.25">
      <c r="A31" s="13" t="str">
        <f t="shared" ref="A31:B31" si="13">A14</f>
        <v xml:space="preserve">Y0020 </v>
      </c>
      <c r="B31" s="13" t="str">
        <f t="shared" si="13"/>
        <v>SALA JUNTAS EQ. GOBIERNO: CAMARAS DE VIDEO PARA SEGUIMIENTO</v>
      </c>
      <c r="C31" s="24"/>
      <c r="D31" s="25">
        <f t="shared" si="4"/>
        <v>2.2267379138704588</v>
      </c>
      <c r="E31" s="25">
        <f t="shared" si="5"/>
        <v>0</v>
      </c>
      <c r="F31" s="1046"/>
      <c r="G31" s="24"/>
      <c r="H31" s="25">
        <f t="shared" si="6"/>
        <v>2.2267379138704588</v>
      </c>
      <c r="I31" s="25">
        <f t="shared" si="7"/>
        <v>0</v>
      </c>
      <c r="J31" s="1046"/>
      <c r="K31" s="24"/>
      <c r="L31" s="25">
        <f t="shared" si="8"/>
        <v>2.2267379138704588</v>
      </c>
      <c r="M31" s="25">
        <f t="shared" si="9"/>
        <v>0</v>
      </c>
      <c r="N31" s="1046"/>
    </row>
    <row r="32" spans="1:14" x14ac:dyDescent="0.25">
      <c r="A32" s="13" t="str">
        <f t="shared" ref="A32:B32" si="14">A15</f>
        <v>Y0019</v>
      </c>
      <c r="B32" s="13" t="str">
        <f t="shared" si="14"/>
        <v>ALA JUNTAS EQ. GOBIERNO: SISTEMA DE GRABACIÓN /REPRODUCCIÓN</v>
      </c>
      <c r="C32" s="24"/>
      <c r="D32" s="25">
        <f t="shared" si="4"/>
        <v>1.5748945724404322</v>
      </c>
      <c r="E32" s="25">
        <f t="shared" si="5"/>
        <v>0</v>
      </c>
      <c r="F32" s="1046"/>
      <c r="G32" s="24"/>
      <c r="H32" s="25">
        <f t="shared" si="6"/>
        <v>1.5748945724404322</v>
      </c>
      <c r="I32" s="25">
        <f t="shared" si="7"/>
        <v>0</v>
      </c>
      <c r="J32" s="1046"/>
      <c r="K32" s="24"/>
      <c r="L32" s="25">
        <f t="shared" si="8"/>
        <v>1.5748945724404322</v>
      </c>
      <c r="M32" s="25">
        <f t="shared" si="9"/>
        <v>0</v>
      </c>
      <c r="N32" s="1046"/>
    </row>
    <row r="33" spans="1:14" x14ac:dyDescent="0.25">
      <c r="A33" s="13" t="str">
        <f t="shared" ref="A33:B33" si="15">A16</f>
        <v>Y0023</v>
      </c>
      <c r="B33" s="13" t="str">
        <f t="shared" si="15"/>
        <v>SALA JUNTAS EQ. GOBIERNO: SISTEMA DE CONTROL REMOTO</v>
      </c>
      <c r="C33" s="24"/>
      <c r="D33" s="25">
        <f t="shared" si="4"/>
        <v>4.454259758865474</v>
      </c>
      <c r="E33" s="25">
        <f t="shared" si="5"/>
        <v>0</v>
      </c>
      <c r="F33" s="1046"/>
      <c r="G33" s="24"/>
      <c r="H33" s="25">
        <f t="shared" si="6"/>
        <v>4.454259758865474</v>
      </c>
      <c r="I33" s="25">
        <f t="shared" si="7"/>
        <v>0</v>
      </c>
      <c r="J33" s="1046"/>
      <c r="K33" s="24"/>
      <c r="L33" s="25">
        <f t="shared" si="8"/>
        <v>4.454259758865474</v>
      </c>
      <c r="M33" s="25">
        <f t="shared" si="9"/>
        <v>0</v>
      </c>
      <c r="N33" s="1046"/>
    </row>
    <row r="34" spans="1:14" x14ac:dyDescent="0.25">
      <c r="A34" s="13" t="str">
        <f t="shared" ref="A34:B34" si="16">A17</f>
        <v>Y0036</v>
      </c>
      <c r="B34" s="13" t="str">
        <f t="shared" si="16"/>
        <v>SALA DE REUNIONES: EQUIPAMIENTO MULTIMEDIA</v>
      </c>
      <c r="C34" s="24"/>
      <c r="D34" s="25">
        <f t="shared" si="4"/>
        <v>4.462228188178635</v>
      </c>
      <c r="E34" s="25">
        <f t="shared" si="5"/>
        <v>0</v>
      </c>
      <c r="F34" s="1046"/>
      <c r="G34" s="24"/>
      <c r="H34" s="25">
        <f t="shared" si="6"/>
        <v>4.462228188178635</v>
      </c>
      <c r="I34" s="25">
        <f t="shared" si="7"/>
        <v>0</v>
      </c>
      <c r="J34" s="1046"/>
      <c r="K34" s="24"/>
      <c r="L34" s="25">
        <f t="shared" si="8"/>
        <v>4.462228188178635</v>
      </c>
      <c r="M34" s="25">
        <f t="shared" si="9"/>
        <v>0</v>
      </c>
      <c r="N34" s="1046"/>
    </row>
    <row r="38" spans="1:14" x14ac:dyDescent="0.25">
      <c r="C38" s="1056" t="s">
        <v>664</v>
      </c>
      <c r="D38" s="1057"/>
      <c r="E38" s="1057"/>
      <c r="F38" s="1057"/>
      <c r="G38" s="1057"/>
      <c r="H38" s="1057"/>
      <c r="I38" s="1057"/>
      <c r="J38" s="1057"/>
      <c r="K38" s="1058"/>
      <c r="L38" s="1065" t="s">
        <v>665</v>
      </c>
      <c r="M38" s="1065" t="s">
        <v>660</v>
      </c>
    </row>
    <row r="39" spans="1:14" x14ac:dyDescent="0.25">
      <c r="C39" s="1059"/>
      <c r="D39" s="1060"/>
      <c r="E39" s="1060"/>
      <c r="F39" s="1060"/>
      <c r="G39" s="1060"/>
      <c r="H39" s="1060"/>
      <c r="I39" s="1060"/>
      <c r="J39" s="1060"/>
      <c r="K39" s="1061"/>
      <c r="L39" s="1066"/>
      <c r="M39" s="1066"/>
    </row>
    <row r="40" spans="1:14" x14ac:dyDescent="0.25">
      <c r="C40" s="1062"/>
      <c r="D40" s="1063"/>
      <c r="E40" s="1063"/>
      <c r="F40" s="1063"/>
      <c r="G40" s="1063"/>
      <c r="H40" s="1063"/>
      <c r="I40" s="1063"/>
      <c r="J40" s="1063"/>
      <c r="K40" s="1064"/>
      <c r="L40" s="1067"/>
      <c r="M40" s="1066"/>
      <c r="N40" s="1054" t="s">
        <v>20</v>
      </c>
    </row>
    <row r="41" spans="1:14" ht="52.8" x14ac:dyDescent="0.25">
      <c r="B41" s="613" t="s">
        <v>252</v>
      </c>
      <c r="C41" s="614" t="s">
        <v>663</v>
      </c>
      <c r="D41" s="615" t="s">
        <v>12</v>
      </c>
      <c r="E41" s="616" t="s">
        <v>13</v>
      </c>
      <c r="F41" s="614" t="s">
        <v>662</v>
      </c>
      <c r="G41" s="615" t="s">
        <v>12</v>
      </c>
      <c r="H41" s="616" t="s">
        <v>13</v>
      </c>
      <c r="I41" s="614" t="s">
        <v>661</v>
      </c>
      <c r="J41" s="615" t="s">
        <v>12</v>
      </c>
      <c r="K41" s="616" t="s">
        <v>13</v>
      </c>
      <c r="L41" s="614" t="s">
        <v>19</v>
      </c>
      <c r="M41" s="1067"/>
      <c r="N41" s="1055"/>
    </row>
    <row r="42" spans="1:14" x14ac:dyDescent="0.25">
      <c r="B42" s="446" t="str">
        <f>C23</f>
        <v>ELPRO</v>
      </c>
      <c r="C42" s="495"/>
      <c r="D42" s="439">
        <f>$G$18</f>
        <v>0.81967213114754112</v>
      </c>
      <c r="E42" s="490">
        <f t="shared" ref="E42:E44" si="17">(C42*D42)/100</f>
        <v>0</v>
      </c>
      <c r="F42" s="495">
        <v>45</v>
      </c>
      <c r="G42" s="439">
        <f>$G$18</f>
        <v>0.81967213114754112</v>
      </c>
      <c r="H42" s="490">
        <f>$F$45*$F$46/F42</f>
        <v>0.24590163934426235</v>
      </c>
      <c r="I42" s="495">
        <v>5</v>
      </c>
      <c r="J42" s="439">
        <f>$G$20</f>
        <v>1.6393442622950822</v>
      </c>
      <c r="K42" s="490">
        <f>$I$45*$I$46/I42</f>
        <v>0.2950819672131148</v>
      </c>
      <c r="L42" s="496">
        <f>F26</f>
        <v>29.593888888888884</v>
      </c>
      <c r="M42" s="497">
        <f t="shared" ref="M42:M44" si="18">E42+H42+K42+L42</f>
        <v>30.13487249544626</v>
      </c>
      <c r="N42" s="602">
        <f>RANK(M42,M$42:M$44,0)</f>
        <v>2</v>
      </c>
    </row>
    <row r="43" spans="1:14" x14ac:dyDescent="0.25">
      <c r="B43" s="446" t="str">
        <f>G23</f>
        <v>UTE BGL ALMERIMATIK</v>
      </c>
      <c r="C43" s="495">
        <v>48</v>
      </c>
      <c r="D43" s="439">
        <f t="shared" ref="D43:D44" si="19">$G$18</f>
        <v>0.81967213114754112</v>
      </c>
      <c r="E43" s="490">
        <f>C45*C46/C43</f>
        <v>0.36885245901639352</v>
      </c>
      <c r="F43" s="495">
        <v>30</v>
      </c>
      <c r="G43" s="439">
        <f t="shared" ref="G43:G44" si="20">$G$18</f>
        <v>0.81967213114754112</v>
      </c>
      <c r="H43" s="490">
        <f t="shared" ref="H43:H44" si="21">(F43*G43)/100</f>
        <v>0.24590163934426232</v>
      </c>
      <c r="I43" s="627">
        <v>2</v>
      </c>
      <c r="J43" s="439">
        <f t="shared" ref="J43:J44" si="22">$G$20</f>
        <v>1.6393442622950822</v>
      </c>
      <c r="K43" s="490">
        <f t="shared" ref="K43:K44" si="23">$I$45*$I$46/I43</f>
        <v>0.73770491803278704</v>
      </c>
      <c r="L43" s="496">
        <f>J26</f>
        <v>34.353222222222222</v>
      </c>
      <c r="M43" s="497">
        <f t="shared" si="18"/>
        <v>35.705681238615668</v>
      </c>
      <c r="N43" s="609">
        <f t="shared" ref="N43:N44" si="24">RANK(M43,M$42:M$44,0)</f>
        <v>1</v>
      </c>
    </row>
    <row r="44" spans="1:14" x14ac:dyDescent="0.25">
      <c r="B44" s="446" t="str">
        <f>K23</f>
        <v>VITELSA</v>
      </c>
      <c r="C44" s="495"/>
      <c r="D44" s="439">
        <f t="shared" si="19"/>
        <v>0.81967213114754112</v>
      </c>
      <c r="E44" s="490">
        <f t="shared" si="17"/>
        <v>0</v>
      </c>
      <c r="F44" s="495"/>
      <c r="G44" s="439">
        <f t="shared" si="20"/>
        <v>0.81967213114754112</v>
      </c>
      <c r="H44" s="490">
        <f t="shared" si="21"/>
        <v>0</v>
      </c>
      <c r="I44" s="495">
        <v>2</v>
      </c>
      <c r="J44" s="439">
        <f t="shared" si="22"/>
        <v>1.6393442622950822</v>
      </c>
      <c r="K44" s="490">
        <f t="shared" si="23"/>
        <v>0.73770491803278704</v>
      </c>
      <c r="L44" s="496">
        <f>N26</f>
        <v>16.78744444444445</v>
      </c>
      <c r="M44" s="497">
        <f t="shared" si="18"/>
        <v>17.525149362477237</v>
      </c>
      <c r="N44" s="609">
        <f t="shared" si="24"/>
        <v>3</v>
      </c>
    </row>
    <row r="45" spans="1:14" x14ac:dyDescent="0.25">
      <c r="B45" s="925" t="s">
        <v>1128</v>
      </c>
      <c r="C45" s="448">
        <f>MIN(C42:C44)</f>
        <v>48</v>
      </c>
      <c r="D45" s="923"/>
      <c r="E45" s="924"/>
      <c r="F45" s="448">
        <f>MIN(F42:F44)</f>
        <v>30</v>
      </c>
      <c r="G45" s="923"/>
      <c r="H45" s="924"/>
      <c r="I45" s="448">
        <f>MIN(I42:I44)</f>
        <v>2</v>
      </c>
      <c r="J45" s="923"/>
      <c r="K45" s="924"/>
    </row>
    <row r="46" spans="1:14" x14ac:dyDescent="0.25">
      <c r="B46" s="13" t="s">
        <v>1127</v>
      </c>
      <c r="C46" s="1023">
        <f>G18*H5/100</f>
        <v>0.36885245901639352</v>
      </c>
      <c r="D46" s="1024"/>
      <c r="E46" s="1025"/>
      <c r="F46" s="1023">
        <f>G19*H5/100</f>
        <v>0.36885245901639352</v>
      </c>
      <c r="G46" s="1024"/>
      <c r="H46" s="1025"/>
      <c r="I46" s="1026">
        <f>G20*H5/100</f>
        <v>0.73770491803278704</v>
      </c>
      <c r="J46" s="1027"/>
      <c r="K46" s="1028"/>
    </row>
  </sheetData>
  <mergeCells count="18">
    <mergeCell ref="K23:N23"/>
    <mergeCell ref="B24:B25"/>
    <mergeCell ref="C24:F24"/>
    <mergeCell ref="G24:J24"/>
    <mergeCell ref="K24:N24"/>
    <mergeCell ref="A23:B23"/>
    <mergeCell ref="C23:F23"/>
    <mergeCell ref="G23:J23"/>
    <mergeCell ref="N26:N34"/>
    <mergeCell ref="C38:K40"/>
    <mergeCell ref="L38:L40"/>
    <mergeCell ref="M38:M41"/>
    <mergeCell ref="N40:N41"/>
    <mergeCell ref="C46:E46"/>
    <mergeCell ref="F46:H46"/>
    <mergeCell ref="I46:K46"/>
    <mergeCell ref="F26:F34"/>
    <mergeCell ref="J26:J34"/>
  </mergeCells>
  <conditionalFormatting sqref="N42:N44">
    <cfRule type="cellIs" dxfId="7" priority="3" operator="equal">
      <formula>1</formula>
    </cfRule>
  </conditionalFormatting>
  <conditionalFormatting sqref="M42:M44">
    <cfRule type="cellIs" dxfId="6" priority="2" operator="greaterThan">
      <formula>30</formula>
    </cfRule>
  </conditionalFormatting>
  <conditionalFormatting sqref="N43">
    <cfRule type="cellIs" dxfId="5" priority="1" operator="equal">
      <formula>1</formula>
    </cfRule>
  </conditionalFormatting>
  <pageMargins left="0.74803149606299213" right="0.35433070866141736" top="0.31496062992125984" bottom="0.31496062992125984" header="0" footer="0"/>
  <pageSetup paperSize="9" scale="56" fitToHeight="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opLeftCell="A59" zoomScaleSheetLayoutView="75" workbookViewId="0">
      <selection activeCell="B121" sqref="B121"/>
    </sheetView>
  </sheetViews>
  <sheetFormatPr baseColWidth="10" defaultRowHeight="13.2" x14ac:dyDescent="0.25"/>
  <cols>
    <col min="1" max="1" width="44.33203125" bestFit="1" customWidth="1"/>
    <col min="2" max="2" width="54.33203125" bestFit="1" customWidth="1"/>
    <col min="3" max="3" width="4" bestFit="1" customWidth="1"/>
    <col min="4" max="4" width="5" customWidth="1"/>
    <col min="5" max="5" width="8.33203125" customWidth="1"/>
    <col min="6" max="6" width="8" customWidth="1"/>
    <col min="7" max="7" width="9.33203125" customWidth="1"/>
    <col min="8" max="8" width="4.44140625" customWidth="1"/>
    <col min="9" max="9" width="9.6640625" customWidth="1"/>
  </cols>
  <sheetData>
    <row r="1" spans="1:9" x14ac:dyDescent="0.25">
      <c r="A1" t="str">
        <f>Empresas!A78</f>
        <v>LOTE 5: MULTIMEDIA SALA REUNIONES Y SALA ESPERA</v>
      </c>
    </row>
    <row r="2" spans="1:9" x14ac:dyDescent="0.25">
      <c r="C2" s="27"/>
    </row>
    <row r="3" spans="1:9" x14ac:dyDescent="0.25">
      <c r="A3" s="112"/>
      <c r="B3" s="112"/>
      <c r="C3" s="112"/>
      <c r="D3" s="112"/>
      <c r="E3" s="112"/>
    </row>
    <row r="4" spans="1:9" ht="27.75" customHeight="1" x14ac:dyDescent="0.25">
      <c r="C4" s="27"/>
      <c r="D4" s="1093" t="str">
        <f>Empresas!A82</f>
        <v>ELPRO</v>
      </c>
      <c r="E4" s="1094"/>
      <c r="F4" s="1093" t="str">
        <f>Empresas!A84</f>
        <v>UTE BGL ALMERIMATIK</v>
      </c>
      <c r="G4" s="1094"/>
      <c r="H4" s="1093" t="str">
        <f>Empresas!A85</f>
        <v>VITELSA</v>
      </c>
      <c r="I4" s="1094"/>
    </row>
    <row r="5" spans="1:9" x14ac:dyDescent="0.25">
      <c r="A5" s="618" t="s">
        <v>525</v>
      </c>
      <c r="B5" s="619"/>
      <c r="C5" s="620"/>
      <c r="D5" s="620"/>
      <c r="E5" s="620"/>
      <c r="F5" s="619"/>
      <c r="G5" s="620"/>
      <c r="H5" s="619"/>
      <c r="I5" s="620"/>
    </row>
    <row r="6" spans="1:9" x14ac:dyDescent="0.25">
      <c r="A6" s="121" t="s">
        <v>526</v>
      </c>
      <c r="B6" s="115" t="s">
        <v>527</v>
      </c>
      <c r="C6" s="116">
        <f>A7</f>
        <v>6</v>
      </c>
      <c r="D6" s="508" t="s">
        <v>108</v>
      </c>
      <c r="E6" s="1029">
        <f>IF(D6="S",$C6,IF(D7="S",$C7,))</f>
        <v>6</v>
      </c>
      <c r="F6" s="508" t="s">
        <v>108</v>
      </c>
      <c r="G6" s="1029">
        <f>IF(F6="S",$C6,IF(F7="S",$C7,))</f>
        <v>6</v>
      </c>
      <c r="H6" s="508" t="s">
        <v>108</v>
      </c>
      <c r="I6" s="1029">
        <f>IF(H6="S",$C6,IF(H7="S",$C7,))</f>
        <v>6</v>
      </c>
    </row>
    <row r="7" spans="1:9" x14ac:dyDescent="0.25">
      <c r="A7" s="251">
        <v>6</v>
      </c>
      <c r="B7" s="201" t="s">
        <v>881</v>
      </c>
      <c r="C7" s="116">
        <v>0</v>
      </c>
      <c r="D7" s="116"/>
      <c r="E7" s="1033"/>
      <c r="F7" s="116"/>
      <c r="G7" s="1033"/>
      <c r="H7" s="116"/>
      <c r="I7" s="1033"/>
    </row>
    <row r="8" spans="1:9" x14ac:dyDescent="0.25">
      <c r="A8" s="106" t="s">
        <v>147</v>
      </c>
      <c r="B8" s="75" t="s">
        <v>531</v>
      </c>
      <c r="C8" s="76">
        <f>A9</f>
        <v>7</v>
      </c>
      <c r="D8" s="660" t="s">
        <v>108</v>
      </c>
      <c r="E8" s="979">
        <f>IF(D8="S",$C8,IF(D9="S",$C9,IF(D10="S",$C10,)))</f>
        <v>7</v>
      </c>
      <c r="F8" s="114" t="s">
        <v>108</v>
      </c>
      <c r="G8" s="979">
        <f>IF(F8="S",$C8,IF(F9="S",$C9,IF(F10="S",$C10,)))</f>
        <v>7</v>
      </c>
      <c r="H8" s="76"/>
      <c r="I8" s="979">
        <f>IF(H8="S",$C8,IF(H9="S",$C9,IF(H10="S",$C10,)))</f>
        <v>0</v>
      </c>
    </row>
    <row r="9" spans="1:9" x14ac:dyDescent="0.25">
      <c r="A9" s="249">
        <v>7</v>
      </c>
      <c r="B9" s="75" t="s">
        <v>532</v>
      </c>
      <c r="C9" s="76">
        <v>5</v>
      </c>
      <c r="D9" s="114"/>
      <c r="E9" s="980"/>
      <c r="F9" s="76"/>
      <c r="G9" s="980"/>
      <c r="H9" s="76"/>
      <c r="I9" s="980"/>
    </row>
    <row r="10" spans="1:9" x14ac:dyDescent="0.25">
      <c r="A10" s="250"/>
      <c r="B10" s="193" t="s">
        <v>791</v>
      </c>
      <c r="C10" s="76">
        <v>0</v>
      </c>
      <c r="D10" s="76"/>
      <c r="E10" s="981"/>
      <c r="F10" s="76"/>
      <c r="G10" s="981"/>
      <c r="H10" s="114" t="s">
        <v>108</v>
      </c>
      <c r="I10" s="981"/>
    </row>
    <row r="11" spans="1:9" x14ac:dyDescent="0.25">
      <c r="A11" s="246" t="s">
        <v>149</v>
      </c>
      <c r="B11" s="201" t="s">
        <v>150</v>
      </c>
      <c r="C11" s="508">
        <f>A12</f>
        <v>6</v>
      </c>
      <c r="D11" s="355" t="s">
        <v>108</v>
      </c>
      <c r="E11" s="262">
        <f>IF(D11="S",$C11,)</f>
        <v>6</v>
      </c>
      <c r="F11" s="355" t="s">
        <v>108</v>
      </c>
      <c r="G11" s="262">
        <f>IF(F11="S",$C11,)</f>
        <v>6</v>
      </c>
      <c r="H11" s="182"/>
      <c r="I11" s="262">
        <f>IF(H11="S",$C11,)</f>
        <v>0</v>
      </c>
    </row>
    <row r="12" spans="1:9" x14ac:dyDescent="0.25">
      <c r="A12" s="239">
        <v>6</v>
      </c>
      <c r="B12" s="119" t="s">
        <v>112</v>
      </c>
      <c r="C12" s="198">
        <v>3</v>
      </c>
      <c r="D12" s="260"/>
      <c r="E12" s="262">
        <f t="shared" ref="E12:G14" si="0">IF(D12="S",$C12,)</f>
        <v>0</v>
      </c>
      <c r="F12" s="260"/>
      <c r="G12" s="262">
        <f t="shared" si="0"/>
        <v>0</v>
      </c>
      <c r="H12" s="260"/>
      <c r="I12" s="262">
        <f t="shared" ref="I12" si="1">IF(H12="S",$C12,)</f>
        <v>0</v>
      </c>
    </row>
    <row r="13" spans="1:9" x14ac:dyDescent="0.25">
      <c r="A13" s="239"/>
      <c r="B13" s="119" t="s">
        <v>113</v>
      </c>
      <c r="C13" s="198">
        <v>1</v>
      </c>
      <c r="D13" s="260"/>
      <c r="E13" s="262">
        <f t="shared" si="0"/>
        <v>0</v>
      </c>
      <c r="F13" s="260"/>
      <c r="G13" s="262">
        <f t="shared" si="0"/>
        <v>0</v>
      </c>
      <c r="H13" s="260"/>
      <c r="I13" s="262">
        <f t="shared" ref="I13" si="2">IF(H13="S",$C13,)</f>
        <v>0</v>
      </c>
    </row>
    <row r="14" spans="1:9" x14ac:dyDescent="0.25">
      <c r="A14" s="239"/>
      <c r="B14" s="544" t="s">
        <v>791</v>
      </c>
      <c r="C14" s="198">
        <v>0</v>
      </c>
      <c r="D14" s="260"/>
      <c r="E14" s="262">
        <f t="shared" si="0"/>
        <v>0</v>
      </c>
      <c r="F14" s="260"/>
      <c r="G14" s="262">
        <f t="shared" si="0"/>
        <v>0</v>
      </c>
      <c r="H14" s="260"/>
      <c r="I14" s="262">
        <f t="shared" ref="I14" si="3">IF(H14="S",$C14,)</f>
        <v>0</v>
      </c>
    </row>
    <row r="15" spans="1:9" x14ac:dyDescent="0.25">
      <c r="A15" s="106" t="s">
        <v>114</v>
      </c>
      <c r="B15" s="75" t="s">
        <v>115</v>
      </c>
      <c r="C15" s="602">
        <f>A16</f>
        <v>7</v>
      </c>
      <c r="D15" s="979">
        <v>31</v>
      </c>
      <c r="E15" s="979">
        <f>IF(D15&gt;25,$C15,IF(D15&gt;19.9,$C16,IF(D15&gt;0,$C17,)))</f>
        <v>7</v>
      </c>
      <c r="F15" s="979">
        <v>30</v>
      </c>
      <c r="G15" s="979">
        <f>IF(F15&gt;25,$C15,IF(F15&gt;19.9,$C16,IF(F15&gt;0,$C17,)))</f>
        <v>7</v>
      </c>
      <c r="H15" s="979">
        <v>20</v>
      </c>
      <c r="I15" s="979">
        <f>IF(H15&gt;25,$C15,IF(H15&gt;19.9,$C16,IF(H15&gt;0,$C17,)))</f>
        <v>4</v>
      </c>
    </row>
    <row r="16" spans="1:9" x14ac:dyDescent="0.25">
      <c r="A16" s="107">
        <v>7</v>
      </c>
      <c r="B16" s="75" t="s">
        <v>116</v>
      </c>
      <c r="C16" s="76">
        <v>4</v>
      </c>
      <c r="D16" s="980"/>
      <c r="E16" s="980"/>
      <c r="F16" s="980"/>
      <c r="G16" s="980"/>
      <c r="H16" s="980"/>
      <c r="I16" s="980"/>
    </row>
    <row r="17" spans="1:9" x14ac:dyDescent="0.25">
      <c r="A17" s="250"/>
      <c r="B17" s="75" t="s">
        <v>529</v>
      </c>
      <c r="C17" s="76">
        <v>0</v>
      </c>
      <c r="D17" s="981"/>
      <c r="E17" s="981"/>
      <c r="F17" s="981"/>
      <c r="G17" s="981"/>
      <c r="H17" s="981"/>
      <c r="I17" s="981"/>
    </row>
    <row r="18" spans="1:9" x14ac:dyDescent="0.25">
      <c r="A18" s="246" t="s">
        <v>164</v>
      </c>
      <c r="B18" s="245" t="s">
        <v>528</v>
      </c>
      <c r="C18" s="508">
        <f>A19</f>
        <v>7</v>
      </c>
      <c r="D18" s="625"/>
      <c r="E18" s="976">
        <f>IF(D18="S",$C18,IF(D19="S",$C19,IF(D21="S",$C21,)))</f>
        <v>4</v>
      </c>
      <c r="F18" s="355" t="s">
        <v>108</v>
      </c>
      <c r="G18" s="976">
        <f>IF(F18="S",$C18,IF(F19="S",$C19,IF(F21="S",$C21,)))</f>
        <v>7</v>
      </c>
      <c r="H18" s="182"/>
      <c r="I18" s="976">
        <f>IF(H18="S",$C18,IF(H19="S",$C19,IF(H21="S",$C21,)))</f>
        <v>0</v>
      </c>
    </row>
    <row r="19" spans="1:9" x14ac:dyDescent="0.25">
      <c r="A19" s="239">
        <v>7</v>
      </c>
      <c r="B19" s="245" t="s">
        <v>524</v>
      </c>
      <c r="C19" s="182">
        <v>4</v>
      </c>
      <c r="D19" s="355" t="s">
        <v>108</v>
      </c>
      <c r="E19" s="977"/>
      <c r="F19" s="182"/>
      <c r="G19" s="977"/>
      <c r="H19" s="182"/>
      <c r="I19" s="977"/>
    </row>
    <row r="20" spans="1:9" x14ac:dyDescent="0.25">
      <c r="A20" s="605"/>
      <c r="B20" s="511" t="s">
        <v>58</v>
      </c>
      <c r="C20" s="610">
        <v>2</v>
      </c>
      <c r="D20" s="355"/>
      <c r="E20" s="977"/>
      <c r="F20" s="610"/>
      <c r="G20" s="977"/>
      <c r="H20" s="610"/>
      <c r="I20" s="977"/>
    </row>
    <row r="21" spans="1:9" x14ac:dyDescent="0.25">
      <c r="A21" s="261"/>
      <c r="B21" s="207" t="s">
        <v>791</v>
      </c>
      <c r="C21" s="182">
        <v>0</v>
      </c>
      <c r="D21" s="182"/>
      <c r="E21" s="978"/>
      <c r="F21" s="182"/>
      <c r="G21" s="978"/>
      <c r="H21" s="355" t="s">
        <v>108</v>
      </c>
      <c r="I21" s="978"/>
    </row>
    <row r="22" spans="1:9" x14ac:dyDescent="0.25">
      <c r="A22" s="106" t="s">
        <v>854</v>
      </c>
      <c r="B22" s="75" t="s">
        <v>524</v>
      </c>
      <c r="C22" s="602">
        <f>A23</f>
        <v>6</v>
      </c>
      <c r="D22" s="114" t="s">
        <v>108</v>
      </c>
      <c r="E22" s="979">
        <f>IF(D22="S",$C22,IF(D23="S",$C23,))</f>
        <v>6</v>
      </c>
      <c r="F22" s="114" t="s">
        <v>108</v>
      </c>
      <c r="G22" s="979">
        <f>IF(F22="S",$C22,IF(F23="S",$C23,))</f>
        <v>6</v>
      </c>
      <c r="H22" s="114" t="s">
        <v>108</v>
      </c>
      <c r="I22" s="979">
        <f>IF(H22="S",$C22,IF(H23="S",$C23,))</f>
        <v>6</v>
      </c>
    </row>
    <row r="23" spans="1:9" x14ac:dyDescent="0.25">
      <c r="A23" s="250">
        <v>6</v>
      </c>
      <c r="B23" s="75" t="s">
        <v>530</v>
      </c>
      <c r="C23" s="76">
        <v>0</v>
      </c>
      <c r="D23" s="76"/>
      <c r="E23" s="981"/>
      <c r="F23" s="76"/>
      <c r="G23" s="981"/>
      <c r="H23" s="76"/>
      <c r="I23" s="981"/>
    </row>
    <row r="24" spans="1:9" x14ac:dyDescent="0.25">
      <c r="A24" s="238" t="s">
        <v>833</v>
      </c>
      <c r="B24" s="207" t="s">
        <v>139</v>
      </c>
      <c r="C24" s="508">
        <f>A25</f>
        <v>6</v>
      </c>
      <c r="D24" s="355" t="s">
        <v>108</v>
      </c>
      <c r="E24" s="976">
        <f>IF(D24="S",$C24,IF(D25="S",$C25,))</f>
        <v>6</v>
      </c>
      <c r="F24" s="182"/>
      <c r="G24" s="976">
        <f>IF(F24="S",$C24,IF(F25="S",$C25,))</f>
        <v>0</v>
      </c>
      <c r="H24" s="182"/>
      <c r="I24" s="976">
        <f>IF(H24="S",$C24,IF(H25="S",$C25,))</f>
        <v>0</v>
      </c>
    </row>
    <row r="25" spans="1:9" x14ac:dyDescent="0.25">
      <c r="A25" s="261">
        <v>6</v>
      </c>
      <c r="B25" s="207" t="s">
        <v>791</v>
      </c>
      <c r="C25" s="182">
        <v>0</v>
      </c>
      <c r="D25" s="182"/>
      <c r="E25" s="978"/>
      <c r="F25" s="355" t="s">
        <v>108</v>
      </c>
      <c r="G25" s="978"/>
      <c r="H25" s="355" t="s">
        <v>108</v>
      </c>
      <c r="I25" s="978"/>
    </row>
    <row r="26" spans="1:9" x14ac:dyDescent="0.25">
      <c r="A26" s="621" t="s">
        <v>50</v>
      </c>
      <c r="B26" s="622">
        <f>SUM(A6:A25)</f>
        <v>45</v>
      </c>
      <c r="C26" s="620"/>
      <c r="D26" s="619"/>
      <c r="E26" s="620">
        <f>SUM(E6:E25)</f>
        <v>42</v>
      </c>
      <c r="F26" s="619"/>
      <c r="G26" s="620">
        <f>SUM(G6:G25)</f>
        <v>39</v>
      </c>
      <c r="H26" s="619"/>
      <c r="I26" s="620">
        <f>SUM(I6:I25)</f>
        <v>16</v>
      </c>
    </row>
    <row r="27" spans="1:9" x14ac:dyDescent="0.25">
      <c r="A27" s="112"/>
      <c r="B27" s="112"/>
      <c r="C27" s="112"/>
      <c r="D27" s="112"/>
      <c r="E27" s="867">
        <f>E26*15/45</f>
        <v>14</v>
      </c>
      <c r="F27" s="27"/>
      <c r="G27" s="867">
        <f>G26*15/45</f>
        <v>13</v>
      </c>
      <c r="H27" s="27"/>
      <c r="I27" s="867">
        <f>I26*15/45</f>
        <v>5.333333333333333</v>
      </c>
    </row>
    <row r="28" spans="1:9" x14ac:dyDescent="0.25">
      <c r="A28" s="112"/>
      <c r="B28" s="112"/>
      <c r="C28" s="112"/>
      <c r="D28" s="112"/>
      <c r="E28" s="112"/>
    </row>
    <row r="29" spans="1:9" ht="26.25" customHeight="1" x14ac:dyDescent="0.25">
      <c r="A29" s="112"/>
      <c r="B29" s="112"/>
      <c r="C29" s="112"/>
      <c r="D29" s="1093" t="str">
        <f>$D$4</f>
        <v>ELPRO</v>
      </c>
      <c r="E29" s="1094"/>
      <c r="F29" s="1093" t="str">
        <f>$F$4</f>
        <v>UTE BGL ALMERIMATIK</v>
      </c>
      <c r="G29" s="1094"/>
      <c r="H29" s="1093" t="str">
        <f>$H$4</f>
        <v>VITELSA</v>
      </c>
      <c r="I29" s="1094"/>
    </row>
    <row r="30" spans="1:9" x14ac:dyDescent="0.25">
      <c r="A30" s="618" t="s">
        <v>533</v>
      </c>
      <c r="B30" s="619"/>
      <c r="C30" s="620"/>
      <c r="D30" s="620"/>
      <c r="E30" s="620"/>
      <c r="F30" s="619"/>
      <c r="G30" s="620"/>
      <c r="H30" s="619"/>
      <c r="I30" s="620"/>
    </row>
    <row r="31" spans="1:9" x14ac:dyDescent="0.25">
      <c r="A31" s="1090" t="s">
        <v>837</v>
      </c>
      <c r="B31" s="1091"/>
      <c r="C31" s="1091"/>
      <c r="D31" s="1091"/>
      <c r="E31" s="1091"/>
      <c r="F31" s="1091"/>
      <c r="G31" s="1091"/>
      <c r="H31" s="1091"/>
      <c r="I31" s="1092"/>
    </row>
    <row r="32" spans="1:9" x14ac:dyDescent="0.25">
      <c r="A32" s="203" t="s">
        <v>835</v>
      </c>
      <c r="B32" s="511" t="s">
        <v>168</v>
      </c>
      <c r="C32" s="610">
        <f>A33</f>
        <v>4</v>
      </c>
      <c r="D32" s="976">
        <v>19</v>
      </c>
      <c r="E32" s="976">
        <f>IF(D32&gt;24,$C32,IF(D32&gt;18.9,$C33,IF(D32&gt;0,$C34,)))</f>
        <v>2</v>
      </c>
      <c r="F32" s="976">
        <v>25</v>
      </c>
      <c r="G32" s="976">
        <f>IF(F32&gt;24,$C32,IF(F32&gt;18.9,$C33,IF(F32&gt;0,$C34,)))</f>
        <v>4</v>
      </c>
      <c r="H32" s="976">
        <v>20</v>
      </c>
      <c r="I32" s="976">
        <f>IF(H32&gt;24,$C32,IF(H32&gt;18.9,$C33,IF(H32&gt;0,$C34,)))</f>
        <v>2</v>
      </c>
    </row>
    <row r="33" spans="1:9" x14ac:dyDescent="0.25">
      <c r="A33" s="71">
        <v>4</v>
      </c>
      <c r="B33" s="207" t="s">
        <v>882</v>
      </c>
      <c r="C33" s="610">
        <v>2</v>
      </c>
      <c r="D33" s="977"/>
      <c r="E33" s="977"/>
      <c r="F33" s="977"/>
      <c r="G33" s="977"/>
      <c r="H33" s="977"/>
      <c r="I33" s="977"/>
    </row>
    <row r="34" spans="1:9" x14ac:dyDescent="0.25">
      <c r="A34" s="596"/>
      <c r="B34" s="207" t="s">
        <v>883</v>
      </c>
      <c r="C34" s="610">
        <v>0</v>
      </c>
      <c r="D34" s="978"/>
      <c r="E34" s="978"/>
      <c r="F34" s="978"/>
      <c r="G34" s="978"/>
      <c r="H34" s="978"/>
      <c r="I34" s="978"/>
    </row>
    <row r="35" spans="1:9" x14ac:dyDescent="0.25">
      <c r="A35" s="204" t="s">
        <v>709</v>
      </c>
      <c r="B35" s="512" t="s">
        <v>168</v>
      </c>
      <c r="C35" s="602">
        <f>A36</f>
        <v>4</v>
      </c>
      <c r="D35" s="979">
        <v>19</v>
      </c>
      <c r="E35" s="979">
        <f>IF(D35&gt;24,$C35,IF(D35&gt;18.9,$C36,IF(D35&gt;0,$C37,)))</f>
        <v>2</v>
      </c>
      <c r="F35" s="979">
        <v>25</v>
      </c>
      <c r="G35" s="979">
        <f>IF(F35&gt;24,$C35,IF(F35&gt;18.9,$C36,IF(F35&gt;0,$C37,)))</f>
        <v>4</v>
      </c>
      <c r="H35" s="979">
        <v>20</v>
      </c>
      <c r="I35" s="979">
        <f>IF(H35&gt;24,$C35,IF(H35&gt;18.9,$C36,IF(H35&gt;0,$C37,)))</f>
        <v>2</v>
      </c>
    </row>
    <row r="36" spans="1:9" x14ac:dyDescent="0.25">
      <c r="A36" s="107">
        <v>4</v>
      </c>
      <c r="B36" s="193" t="s">
        <v>882</v>
      </c>
      <c r="C36" s="602">
        <v>2</v>
      </c>
      <c r="D36" s="980"/>
      <c r="E36" s="980"/>
      <c r="F36" s="980"/>
      <c r="G36" s="980"/>
      <c r="H36" s="980"/>
      <c r="I36" s="980"/>
    </row>
    <row r="37" spans="1:9" x14ac:dyDescent="0.25">
      <c r="A37" s="595"/>
      <c r="B37" s="193" t="s">
        <v>883</v>
      </c>
      <c r="C37" s="602">
        <v>0</v>
      </c>
      <c r="D37" s="981"/>
      <c r="E37" s="981"/>
      <c r="F37" s="981"/>
      <c r="G37" s="981"/>
      <c r="H37" s="981"/>
      <c r="I37" s="981"/>
    </row>
    <row r="38" spans="1:9" x14ac:dyDescent="0.25">
      <c r="A38" s="203" t="s">
        <v>170</v>
      </c>
      <c r="B38" s="511" t="s">
        <v>168</v>
      </c>
      <c r="C38" s="610">
        <f>A39</f>
        <v>4</v>
      </c>
      <c r="D38" s="976">
        <v>19</v>
      </c>
      <c r="E38" s="976">
        <f>IF(D38&gt;24,$C38,IF(D38&gt;18.9,$C39,IF(D38&gt;0,$C40,)))</f>
        <v>2</v>
      </c>
      <c r="F38" s="976">
        <v>25</v>
      </c>
      <c r="G38" s="976">
        <f>IF(F38&gt;24,$C38,IF(F38&gt;18.9,$C39,IF(F38&gt;0,$C40,)))</f>
        <v>4</v>
      </c>
      <c r="H38" s="976"/>
      <c r="I38" s="976">
        <f>IF(H38&gt;24,$C38,IF(H38&gt;18.9,$C39,IF(H38&gt;0,$C40,)))</f>
        <v>0</v>
      </c>
    </row>
    <row r="39" spans="1:9" x14ac:dyDescent="0.25">
      <c r="A39" s="71">
        <v>4</v>
      </c>
      <c r="B39" s="207" t="s">
        <v>882</v>
      </c>
      <c r="C39" s="610">
        <v>2</v>
      </c>
      <c r="D39" s="977"/>
      <c r="E39" s="977"/>
      <c r="F39" s="977"/>
      <c r="G39" s="977"/>
      <c r="H39" s="977"/>
      <c r="I39" s="977"/>
    </row>
    <row r="40" spans="1:9" x14ac:dyDescent="0.25">
      <c r="A40" s="256"/>
      <c r="B40" s="207" t="s">
        <v>883</v>
      </c>
      <c r="C40" s="610">
        <v>0</v>
      </c>
      <c r="D40" s="978"/>
      <c r="E40" s="978"/>
      <c r="F40" s="978"/>
      <c r="G40" s="978"/>
      <c r="H40" s="978"/>
      <c r="I40" s="978"/>
    </row>
    <row r="41" spans="1:9" x14ac:dyDescent="0.25">
      <c r="A41" s="68" t="s">
        <v>164</v>
      </c>
      <c r="B41" s="13" t="s">
        <v>165</v>
      </c>
      <c r="C41" s="609">
        <f>A42</f>
        <v>4</v>
      </c>
      <c r="D41" s="660" t="s">
        <v>108</v>
      </c>
      <c r="E41" s="979">
        <f>IF(D41="S",$C41,IF(D42="S",$C42,IF(D44="S",$C44,)))</f>
        <v>4</v>
      </c>
      <c r="F41" s="114" t="s">
        <v>108</v>
      </c>
      <c r="G41" s="979">
        <f>IF(F41="S",$C41,IF(F42="S",$C42,IF(F44="S",$C44,)))</f>
        <v>4</v>
      </c>
      <c r="H41" s="609"/>
      <c r="I41" s="979">
        <f>IF(H41="S",$C41,IF(H42="S",$C42,IF(H44="S",$C44,)))</f>
        <v>0</v>
      </c>
    </row>
    <row r="42" spans="1:9" x14ac:dyDescent="0.25">
      <c r="A42" s="77">
        <v>4</v>
      </c>
      <c r="B42" s="206" t="s">
        <v>888</v>
      </c>
      <c r="C42" s="609">
        <v>3</v>
      </c>
      <c r="D42" s="114"/>
      <c r="E42" s="980"/>
      <c r="F42" s="609"/>
      <c r="G42" s="980"/>
      <c r="H42" s="609"/>
      <c r="I42" s="980"/>
    </row>
    <row r="43" spans="1:9" x14ac:dyDescent="0.25">
      <c r="A43" s="77"/>
      <c r="B43" s="13" t="s">
        <v>58</v>
      </c>
      <c r="C43" s="609">
        <v>2</v>
      </c>
      <c r="D43" s="114"/>
      <c r="E43" s="980"/>
      <c r="F43" s="609"/>
      <c r="G43" s="980"/>
      <c r="H43" s="609"/>
      <c r="I43" s="980"/>
    </row>
    <row r="44" spans="1:9" x14ac:dyDescent="0.25">
      <c r="A44" s="69"/>
      <c r="B44" s="206" t="s">
        <v>791</v>
      </c>
      <c r="C44" s="609">
        <v>0</v>
      </c>
      <c r="D44" s="609"/>
      <c r="E44" s="981"/>
      <c r="F44" s="609"/>
      <c r="G44" s="981"/>
      <c r="H44" s="114" t="s">
        <v>108</v>
      </c>
      <c r="I44" s="981"/>
    </row>
    <row r="45" spans="1:9" x14ac:dyDescent="0.25">
      <c r="A45" s="121" t="s">
        <v>170</v>
      </c>
      <c r="B45" s="201" t="s">
        <v>1079</v>
      </c>
      <c r="C45" s="508">
        <v>4</v>
      </c>
      <c r="D45" s="510"/>
      <c r="E45" s="100">
        <f>IF(D45="S",$C45,)</f>
        <v>0</v>
      </c>
      <c r="F45" s="510" t="s">
        <v>108</v>
      </c>
      <c r="G45" s="100">
        <f>IF(F45="S",$C45,)</f>
        <v>4</v>
      </c>
      <c r="H45" s="510"/>
      <c r="I45" s="100">
        <f>IF(H45="S",$C45,)</f>
        <v>0</v>
      </c>
    </row>
    <row r="46" spans="1:9" x14ac:dyDescent="0.25">
      <c r="A46" s="71">
        <v>4</v>
      </c>
      <c r="B46" s="201" t="s">
        <v>834</v>
      </c>
      <c r="C46" s="116">
        <v>2</v>
      </c>
      <c r="D46" s="510" t="s">
        <v>108</v>
      </c>
      <c r="E46" s="100">
        <f t="shared" ref="E46:G47" si="4">IF(D46="S",$C46,)</f>
        <v>2</v>
      </c>
      <c r="F46" s="510"/>
      <c r="G46" s="100">
        <f t="shared" si="4"/>
        <v>0</v>
      </c>
      <c r="H46" s="115"/>
      <c r="I46" s="100">
        <f t="shared" ref="I46:I47" si="5">IF(H46="S",$C46,)</f>
        <v>0</v>
      </c>
    </row>
    <row r="47" spans="1:9" x14ac:dyDescent="0.25">
      <c r="A47" s="256"/>
      <c r="B47" s="201" t="s">
        <v>791</v>
      </c>
      <c r="C47" s="116">
        <v>0</v>
      </c>
      <c r="D47" s="510" t="s">
        <v>108</v>
      </c>
      <c r="E47" s="100">
        <f t="shared" si="4"/>
        <v>0</v>
      </c>
      <c r="F47" s="508"/>
      <c r="G47" s="100">
        <f t="shared" si="4"/>
        <v>0</v>
      </c>
      <c r="H47" s="510" t="s">
        <v>108</v>
      </c>
      <c r="I47" s="100">
        <f t="shared" si="5"/>
        <v>0</v>
      </c>
    </row>
    <row r="48" spans="1:9" ht="13.8" x14ac:dyDescent="0.3">
      <c r="A48" s="204" t="s">
        <v>836</v>
      </c>
      <c r="B48" s="193" t="s">
        <v>1076</v>
      </c>
      <c r="C48" s="602">
        <f>A49</f>
        <v>4</v>
      </c>
      <c r="D48" s="979">
        <v>19</v>
      </c>
      <c r="E48" s="979">
        <f>IF(D48&gt;18.9,$C48,IF(D48&gt;0,$C49,))</f>
        <v>4</v>
      </c>
      <c r="F48" s="979">
        <v>19</v>
      </c>
      <c r="G48" s="979">
        <f>IF(F48&gt;18.9,$C48,IF(F48&gt;0,$C49,))</f>
        <v>4</v>
      </c>
      <c r="H48" s="979">
        <v>16</v>
      </c>
      <c r="I48" s="979">
        <f>IF(H48&gt;18.9,$C48,IF(H48&gt;0,$C49,))</f>
        <v>0</v>
      </c>
    </row>
    <row r="49" spans="1:9" ht="13.8" x14ac:dyDescent="0.3">
      <c r="A49" s="107">
        <v>4</v>
      </c>
      <c r="B49" s="193" t="s">
        <v>1077</v>
      </c>
      <c r="C49" s="602">
        <v>0</v>
      </c>
      <c r="D49" s="981"/>
      <c r="E49" s="981"/>
      <c r="F49" s="981"/>
      <c r="G49" s="981"/>
      <c r="H49" s="981"/>
      <c r="I49" s="981"/>
    </row>
    <row r="50" spans="1:9" x14ac:dyDescent="0.25">
      <c r="A50" s="1090" t="s">
        <v>838</v>
      </c>
      <c r="B50" s="1091"/>
      <c r="C50" s="1091"/>
      <c r="D50" s="1091"/>
      <c r="E50" s="1091"/>
      <c r="F50" s="1091"/>
      <c r="G50" s="1091"/>
      <c r="H50" s="1091"/>
      <c r="I50" s="1092"/>
    </row>
    <row r="51" spans="1:9" x14ac:dyDescent="0.25">
      <c r="A51" s="238" t="s">
        <v>839</v>
      </c>
      <c r="B51" s="291" t="s">
        <v>890</v>
      </c>
      <c r="C51" s="508">
        <f>A52</f>
        <v>4</v>
      </c>
      <c r="D51" s="1029">
        <v>100</v>
      </c>
      <c r="E51" s="1029">
        <f>IF(D51&gt;274.9,$C51,IF(D51&gt;99.9,$C52,IF(D51&gt;0,$C53,)))</f>
        <v>3</v>
      </c>
      <c r="F51" s="1029">
        <v>286</v>
      </c>
      <c r="G51" s="1029">
        <f>IF(F51&gt;274.9,$C51,IF(F51&gt;149.9,$C52,IF(F51&gt;0,$C53,)))</f>
        <v>4</v>
      </c>
      <c r="H51" s="1029"/>
      <c r="I51" s="1029">
        <f>IF(H51&gt;274.9,$C51,IF(H51&gt;149.9,$C52,IF(H51&gt;0,$C53,)))</f>
        <v>0</v>
      </c>
    </row>
    <row r="52" spans="1:9" x14ac:dyDescent="0.25">
      <c r="A52" s="248">
        <v>4</v>
      </c>
      <c r="B52" s="207" t="s">
        <v>891</v>
      </c>
      <c r="C52" s="600">
        <v>3</v>
      </c>
      <c r="D52" s="1030"/>
      <c r="E52" s="1030"/>
      <c r="F52" s="1030"/>
      <c r="G52" s="1030"/>
      <c r="H52" s="1030"/>
      <c r="I52" s="1030"/>
    </row>
    <row r="53" spans="1:9" x14ac:dyDescent="0.25">
      <c r="A53" s="293"/>
      <c r="B53" s="207" t="s">
        <v>892</v>
      </c>
      <c r="C53" s="600">
        <v>0</v>
      </c>
      <c r="D53" s="1033"/>
      <c r="E53" s="1033"/>
      <c r="F53" s="1033"/>
      <c r="G53" s="1033"/>
      <c r="H53" s="1033"/>
      <c r="I53" s="1033"/>
    </row>
    <row r="54" spans="1:9" x14ac:dyDescent="0.25">
      <c r="A54" s="204" t="s">
        <v>840</v>
      </c>
      <c r="B54" s="193" t="s">
        <v>849</v>
      </c>
      <c r="C54" s="602">
        <f>A55</f>
        <v>5</v>
      </c>
      <c r="D54" s="979"/>
      <c r="E54" s="979">
        <f>IF(D54&gt;55,$C56,IF(D54&gt;45,$C55,IF(D54&gt;0,$C54,)))</f>
        <v>0</v>
      </c>
      <c r="F54" s="979">
        <v>42</v>
      </c>
      <c r="G54" s="979">
        <f>IF(F54&gt;55,$C56,IF(F54&gt;45,$C55,IF(F54&gt;0,$C54,)))</f>
        <v>5</v>
      </c>
      <c r="H54" s="979"/>
      <c r="I54" s="979">
        <f>IF(H54&gt;55,$C56,IF(H54&gt;45,$C55,IF(H54&gt;0,$C54,)))</f>
        <v>0</v>
      </c>
    </row>
    <row r="55" spans="1:9" x14ac:dyDescent="0.25">
      <c r="A55" s="107">
        <v>5</v>
      </c>
      <c r="B55" s="193" t="s">
        <v>850</v>
      </c>
      <c r="C55" s="602">
        <v>3</v>
      </c>
      <c r="D55" s="980"/>
      <c r="E55" s="980"/>
      <c r="F55" s="980"/>
      <c r="G55" s="980"/>
      <c r="H55" s="980"/>
      <c r="I55" s="980"/>
    </row>
    <row r="56" spans="1:9" x14ac:dyDescent="0.25">
      <c r="A56" s="414"/>
      <c r="B56" s="193" t="s">
        <v>851</v>
      </c>
      <c r="C56" s="602">
        <v>0</v>
      </c>
      <c r="D56" s="981"/>
      <c r="E56" s="981"/>
      <c r="F56" s="981"/>
      <c r="G56" s="981"/>
      <c r="H56" s="981"/>
      <c r="I56" s="981"/>
    </row>
    <row r="57" spans="1:9" x14ac:dyDescent="0.25">
      <c r="A57" s="203" t="s">
        <v>841</v>
      </c>
      <c r="B57" s="207" t="s">
        <v>855</v>
      </c>
      <c r="C57" s="508">
        <f>A58</f>
        <v>5</v>
      </c>
      <c r="D57" s="1029">
        <v>116.8</v>
      </c>
      <c r="E57" s="1029">
        <f>IF(D57&gt;199.9,$C59,IF(D57&gt;175,$C58,IF(D57&gt;0,$C57,)))</f>
        <v>5</v>
      </c>
      <c r="F57" s="1029">
        <v>177</v>
      </c>
      <c r="G57" s="1029">
        <f>IF(F57&gt;199.9,$C59,IF(F57&gt;175,$C58,IF(F57&gt;0,$C57,)))</f>
        <v>2</v>
      </c>
      <c r="H57" s="1029"/>
      <c r="I57" s="1029">
        <f>IF(H57&gt;199.9,$C59,IF(H57&gt;175,$C58,IF(H57&gt;0,$C57,)))</f>
        <v>0</v>
      </c>
    </row>
    <row r="58" spans="1:9" x14ac:dyDescent="0.25">
      <c r="A58" s="71">
        <v>5</v>
      </c>
      <c r="B58" s="207" t="s">
        <v>856</v>
      </c>
      <c r="C58" s="600">
        <v>2</v>
      </c>
      <c r="D58" s="1030"/>
      <c r="E58" s="1030"/>
      <c r="F58" s="1030"/>
      <c r="G58" s="1030"/>
      <c r="H58" s="1030"/>
      <c r="I58" s="1030"/>
    </row>
    <row r="59" spans="1:9" x14ac:dyDescent="0.25">
      <c r="A59" s="279"/>
      <c r="B59" s="207" t="s">
        <v>857</v>
      </c>
      <c r="C59" s="600">
        <v>0</v>
      </c>
      <c r="D59" s="1033"/>
      <c r="E59" s="1033"/>
      <c r="F59" s="1033"/>
      <c r="G59" s="1033"/>
      <c r="H59" s="1033"/>
      <c r="I59" s="1033"/>
    </row>
    <row r="60" spans="1:9" x14ac:dyDescent="0.25">
      <c r="A60" s="204" t="s">
        <v>842</v>
      </c>
      <c r="B60" s="193" t="s">
        <v>847</v>
      </c>
      <c r="C60" s="602">
        <f>A61</f>
        <v>5</v>
      </c>
      <c r="D60" s="114" t="s">
        <v>108</v>
      </c>
      <c r="E60" s="979">
        <f>IF(D60="S",$C60,IF(D61="S",$C61,IF(D62="S",$C62,)))</f>
        <v>5</v>
      </c>
      <c r="F60" s="512"/>
      <c r="G60" s="979">
        <f>IF(F60="S",$C60,IF(F61="S",$C61,IF(F62="S",$C62,)))</f>
        <v>2</v>
      </c>
      <c r="H60" s="512"/>
      <c r="I60" s="979">
        <f>IF(H60="S",$C60,IF(H61="S",$C61,IF(H62="S",$C62,)))</f>
        <v>0</v>
      </c>
    </row>
    <row r="61" spans="1:9" x14ac:dyDescent="0.25">
      <c r="A61" s="107">
        <v>5</v>
      </c>
      <c r="B61" s="193" t="s">
        <v>357</v>
      </c>
      <c r="C61" s="602">
        <v>2</v>
      </c>
      <c r="D61" s="602"/>
      <c r="E61" s="980"/>
      <c r="F61" s="114" t="s">
        <v>108</v>
      </c>
      <c r="G61" s="980"/>
      <c r="H61" s="512"/>
      <c r="I61" s="980"/>
    </row>
    <row r="62" spans="1:9" x14ac:dyDescent="0.25">
      <c r="A62" s="414"/>
      <c r="B62" s="193" t="s">
        <v>848</v>
      </c>
      <c r="C62" s="602">
        <v>0</v>
      </c>
      <c r="D62" s="602"/>
      <c r="E62" s="981"/>
      <c r="F62" s="512"/>
      <c r="G62" s="981"/>
      <c r="H62" s="512"/>
      <c r="I62" s="981"/>
    </row>
    <row r="63" spans="1:9" x14ac:dyDescent="0.25">
      <c r="A63" s="238" t="s">
        <v>843</v>
      </c>
      <c r="B63" s="207" t="s">
        <v>844</v>
      </c>
      <c r="C63" s="508">
        <f>A64</f>
        <v>2</v>
      </c>
      <c r="D63" s="1029">
        <v>2</v>
      </c>
      <c r="E63" s="985">
        <f>IF(D63&gt;2,$C63,IF(D63&gt;1,$C64,IF(D63&gt;0,$C65,)))</f>
        <v>2</v>
      </c>
      <c r="F63" s="1029">
        <v>3</v>
      </c>
      <c r="G63" s="985">
        <f>IF(F63&gt;2,$C63,IF(F63&gt;1,$C64,IF(F63&gt;0,$C65,)))</f>
        <v>2</v>
      </c>
      <c r="H63" s="1048"/>
      <c r="I63" s="985">
        <f>IF(H63&gt;2,$C63,IF(H63&gt;1,$C64,IF(H63&gt;0,$C65,)))</f>
        <v>0</v>
      </c>
    </row>
    <row r="64" spans="1:9" x14ac:dyDescent="0.25">
      <c r="A64" s="248">
        <v>2</v>
      </c>
      <c r="B64" s="207" t="s">
        <v>845</v>
      </c>
      <c r="C64" s="600">
        <v>2</v>
      </c>
      <c r="D64" s="1030"/>
      <c r="E64" s="987"/>
      <c r="F64" s="1030"/>
      <c r="G64" s="987"/>
      <c r="H64" s="998"/>
      <c r="I64" s="987"/>
    </row>
    <row r="65" spans="1:9" x14ac:dyDescent="0.25">
      <c r="A65" s="248"/>
      <c r="B65" s="207" t="s">
        <v>846</v>
      </c>
      <c r="C65" s="600">
        <v>1</v>
      </c>
      <c r="D65" s="1033"/>
      <c r="E65" s="987"/>
      <c r="F65" s="1033"/>
      <c r="G65" s="987"/>
      <c r="H65" s="999"/>
      <c r="I65" s="987"/>
    </row>
    <row r="66" spans="1:9" x14ac:dyDescent="0.25">
      <c r="A66" s="619" t="s">
        <v>50</v>
      </c>
      <c r="B66" s="622">
        <f>SUM(A32:A65)</f>
        <v>45</v>
      </c>
      <c r="C66" s="620"/>
      <c r="D66" s="620"/>
      <c r="E66" s="620">
        <f>SUM(E32:E65)</f>
        <v>31</v>
      </c>
      <c r="F66" s="619"/>
      <c r="G66" s="620">
        <f>SUM(G32:G65)</f>
        <v>39</v>
      </c>
      <c r="H66" s="619"/>
      <c r="I66" s="620">
        <f>SUM(I32:I65)</f>
        <v>4</v>
      </c>
    </row>
    <row r="67" spans="1:9" x14ac:dyDescent="0.25">
      <c r="A67" s="112"/>
      <c r="B67" s="112"/>
      <c r="C67" s="88"/>
      <c r="D67" s="88"/>
      <c r="E67" s="867">
        <f>E66*15/45</f>
        <v>10.333333333333334</v>
      </c>
      <c r="F67" s="112"/>
      <c r="G67" s="88">
        <f>G66*15/45</f>
        <v>13</v>
      </c>
      <c r="I67" s="88">
        <f>I66*15/45</f>
        <v>1.3333333333333333</v>
      </c>
    </row>
    <row r="68" spans="1:9" x14ac:dyDescent="0.25">
      <c r="A68" s="112"/>
      <c r="B68" s="112"/>
      <c r="C68" s="112"/>
      <c r="D68" s="112"/>
      <c r="E68" s="112"/>
    </row>
    <row r="69" spans="1:9" ht="26.25" customHeight="1" x14ac:dyDescent="0.25">
      <c r="A69" s="112"/>
      <c r="B69" s="112"/>
      <c r="C69" s="112"/>
      <c r="D69" s="1093" t="str">
        <f>$D$4</f>
        <v>ELPRO</v>
      </c>
      <c r="E69" s="1094"/>
      <c r="F69" s="1093" t="str">
        <f>$F$4</f>
        <v>UTE BGL ALMERIMATIK</v>
      </c>
      <c r="G69" s="1094"/>
      <c r="H69" s="1093" t="str">
        <f>$H$4</f>
        <v>VITELSA</v>
      </c>
      <c r="I69" s="1094"/>
    </row>
    <row r="70" spans="1:9" x14ac:dyDescent="0.25">
      <c r="A70" s="1090" t="s">
        <v>534</v>
      </c>
      <c r="B70" s="1091"/>
      <c r="C70" s="1091"/>
      <c r="D70" s="1091"/>
      <c r="E70" s="1091"/>
      <c r="F70" s="1091"/>
      <c r="G70" s="1091"/>
      <c r="H70" s="1091"/>
      <c r="I70" s="1092"/>
    </row>
    <row r="71" spans="1:9" x14ac:dyDescent="0.25">
      <c r="A71" s="121" t="s">
        <v>149</v>
      </c>
      <c r="B71" s="201" t="s">
        <v>858</v>
      </c>
      <c r="C71" s="116">
        <f>A72</f>
        <v>4</v>
      </c>
      <c r="D71" s="508"/>
      <c r="E71" s="1051">
        <f>IF(D71="S",$C71,IF(D72="S",$C72,))</f>
        <v>0</v>
      </c>
      <c r="F71" s="510" t="s">
        <v>108</v>
      </c>
      <c r="G71" s="1051">
        <f>IF(F71="S",$C71,IF(F72="S",$C72,))</f>
        <v>4</v>
      </c>
      <c r="H71" s="115"/>
      <c r="I71" s="1051">
        <f>IF(H71="S",$C71,IF(H72="S",$C72,))</f>
        <v>0</v>
      </c>
    </row>
    <row r="72" spans="1:9" x14ac:dyDescent="0.25">
      <c r="A72" s="255">
        <v>4</v>
      </c>
      <c r="B72" s="544" t="s">
        <v>791</v>
      </c>
      <c r="C72" s="198">
        <v>0</v>
      </c>
      <c r="D72" s="367" t="s">
        <v>108</v>
      </c>
      <c r="E72" s="1053"/>
      <c r="F72" s="119"/>
      <c r="G72" s="1053"/>
      <c r="H72" s="119"/>
      <c r="I72" s="1053"/>
    </row>
    <row r="73" spans="1:9" x14ac:dyDescent="0.25">
      <c r="A73" s="202" t="s">
        <v>146</v>
      </c>
      <c r="B73" s="206" t="s">
        <v>877</v>
      </c>
      <c r="C73" s="609">
        <f>A74</f>
        <v>4</v>
      </c>
      <c r="D73" s="611"/>
      <c r="E73" s="1081">
        <f>IF(D73="S",$C73,IF(D74="S",$C74,))</f>
        <v>3</v>
      </c>
      <c r="F73" s="187" t="s">
        <v>108</v>
      </c>
      <c r="G73" s="1081">
        <f>IF(F73="S",$C73,IF(F74="S",$C74,))</f>
        <v>4</v>
      </c>
      <c r="H73" s="13"/>
      <c r="I73" s="1081">
        <f>IF(H73="S",$C73,IF(H74="S",$C74,))</f>
        <v>0</v>
      </c>
    </row>
    <row r="74" spans="1:9" x14ac:dyDescent="0.25">
      <c r="A74" s="77">
        <v>4</v>
      </c>
      <c r="B74" s="206" t="s">
        <v>165</v>
      </c>
      <c r="C74" s="611">
        <v>3</v>
      </c>
      <c r="D74" s="187" t="s">
        <v>108</v>
      </c>
      <c r="E74" s="1082"/>
      <c r="F74" s="13"/>
      <c r="G74" s="1082"/>
      <c r="H74" s="13"/>
      <c r="I74" s="1082"/>
    </row>
    <row r="75" spans="1:9" x14ac:dyDescent="0.25">
      <c r="A75" s="121" t="s">
        <v>146</v>
      </c>
      <c r="B75" s="201" t="s">
        <v>885</v>
      </c>
      <c r="C75" s="610">
        <f>A76</f>
        <v>4</v>
      </c>
      <c r="D75" s="610"/>
      <c r="E75" s="976">
        <f>IF(D75="S",$C75,IF(D76="S",$C76,IF(D77="S",$C77,)))</f>
        <v>3</v>
      </c>
      <c r="F75" s="355" t="s">
        <v>108</v>
      </c>
      <c r="G75" s="976">
        <f>IF(F75="S",$C75,IF(F76="S",$C76,IF(F77="S",$C77,)))</f>
        <v>4</v>
      </c>
      <c r="H75" s="511"/>
      <c r="I75" s="976">
        <f>IF(H75="S",$C75,IF(H76="S",$C76,IF(H77="S",$C77,)))</f>
        <v>0</v>
      </c>
    </row>
    <row r="76" spans="1:9" x14ac:dyDescent="0.25">
      <c r="A76" s="607">
        <v>4</v>
      </c>
      <c r="B76" s="201" t="s">
        <v>884</v>
      </c>
      <c r="C76" s="508">
        <v>3</v>
      </c>
      <c r="D76" s="355" t="s">
        <v>108</v>
      </c>
      <c r="E76" s="977"/>
      <c r="F76" s="355"/>
      <c r="G76" s="977"/>
      <c r="H76" s="511"/>
      <c r="I76" s="977"/>
    </row>
    <row r="77" spans="1:9" x14ac:dyDescent="0.25">
      <c r="A77" s="608"/>
      <c r="B77" s="201" t="s">
        <v>791</v>
      </c>
      <c r="C77" s="508">
        <v>0</v>
      </c>
      <c r="D77" s="355"/>
      <c r="E77" s="978"/>
      <c r="F77" s="511"/>
      <c r="G77" s="978"/>
      <c r="H77" s="355" t="s">
        <v>108</v>
      </c>
      <c r="I77" s="978"/>
    </row>
    <row r="78" spans="1:9" x14ac:dyDescent="0.25">
      <c r="A78" s="204" t="s">
        <v>861</v>
      </c>
      <c r="B78" s="193" t="s">
        <v>860</v>
      </c>
      <c r="C78" s="609">
        <f>A79</f>
        <v>4</v>
      </c>
      <c r="D78" s="609"/>
      <c r="E78" s="979">
        <f>IF(D78="S",$C78,IF(D79="S",$C79,IF(D80="S",$C80,)))</f>
        <v>2</v>
      </c>
      <c r="F78" s="187" t="s">
        <v>108</v>
      </c>
      <c r="G78" s="979">
        <f>IF(F78="S",$C78,IF(F79="S",$C79,IF(F80="S",$C80,)))</f>
        <v>4</v>
      </c>
      <c r="H78" s="512"/>
      <c r="I78" s="979">
        <f>IF(H78="S",$C78,IF(H79="S",$C79,IF(H80="S",$C80,)))</f>
        <v>0</v>
      </c>
    </row>
    <row r="79" spans="1:9" x14ac:dyDescent="0.25">
      <c r="A79" s="603">
        <v>4</v>
      </c>
      <c r="B79" s="193" t="s">
        <v>1072</v>
      </c>
      <c r="C79" s="609">
        <v>3</v>
      </c>
      <c r="D79" s="114"/>
      <c r="E79" s="980"/>
      <c r="F79" s="114"/>
      <c r="G79" s="980"/>
      <c r="H79" s="512"/>
      <c r="I79" s="980"/>
    </row>
    <row r="80" spans="1:9" x14ac:dyDescent="0.25">
      <c r="A80" s="604"/>
      <c r="B80" s="193" t="s">
        <v>884</v>
      </c>
      <c r="C80" s="114">
        <v>2</v>
      </c>
      <c r="D80" s="114" t="s">
        <v>108</v>
      </c>
      <c r="E80" s="981"/>
      <c r="F80" s="512"/>
      <c r="G80" s="981"/>
      <c r="H80" s="512"/>
      <c r="I80" s="981"/>
    </row>
    <row r="81" spans="1:11" x14ac:dyDescent="0.25">
      <c r="A81" s="238" t="s">
        <v>862</v>
      </c>
      <c r="B81" s="207" t="s">
        <v>863</v>
      </c>
      <c r="C81" s="610">
        <f>A82</f>
        <v>4</v>
      </c>
      <c r="D81" s="1029">
        <v>2</v>
      </c>
      <c r="E81" s="1080">
        <f>IF(D81&gt;1.5,$C81,IF(D81&gt;0,$C82,))</f>
        <v>4</v>
      </c>
      <c r="F81" s="1029">
        <v>1.5</v>
      </c>
      <c r="G81" s="1080">
        <f>IF(F81&gt;1.5,$C81,IF(F81&gt;0,$C82,))</f>
        <v>2</v>
      </c>
      <c r="H81" s="1029"/>
      <c r="I81" s="1080">
        <f>IF(H81&gt;1.5,$C81,IF(H81&gt;0,$C82,))</f>
        <v>0</v>
      </c>
    </row>
    <row r="82" spans="1:11" x14ac:dyDescent="0.25">
      <c r="A82" s="248">
        <v>4</v>
      </c>
      <c r="B82" s="207" t="s">
        <v>864</v>
      </c>
      <c r="C82" s="363">
        <v>2</v>
      </c>
      <c r="D82" s="1030"/>
      <c r="E82" s="1080"/>
      <c r="F82" s="1030"/>
      <c r="G82" s="1080"/>
      <c r="H82" s="1030"/>
      <c r="I82" s="1080"/>
    </row>
    <row r="83" spans="1:11" s="96" customFormat="1" x14ac:dyDescent="0.25">
      <c r="A83" s="204" t="s">
        <v>859</v>
      </c>
      <c r="B83" s="193" t="s">
        <v>1089</v>
      </c>
      <c r="C83" s="609">
        <f>A84</f>
        <v>4</v>
      </c>
      <c r="D83" s="979">
        <v>19</v>
      </c>
      <c r="E83" s="1079">
        <f>IF(D83&gt;15.9,$C83,IF(D83&gt;0,$C84,))</f>
        <v>4</v>
      </c>
      <c r="F83" s="979">
        <v>19</v>
      </c>
      <c r="G83" s="1079">
        <f>IF(F83&gt;15.9,$C83,IF(F83&gt;0,$C84,))</f>
        <v>4</v>
      </c>
      <c r="H83" s="979"/>
      <c r="I83" s="1079">
        <f>IF(H83&gt;15.9,$C83,IF(H83&gt;0,$C84,))</f>
        <v>0</v>
      </c>
      <c r="K83"/>
    </row>
    <row r="84" spans="1:11" s="96" customFormat="1" x14ac:dyDescent="0.25">
      <c r="A84" s="107">
        <v>4</v>
      </c>
      <c r="B84" s="193" t="s">
        <v>865</v>
      </c>
      <c r="C84" s="609">
        <v>3</v>
      </c>
      <c r="D84" s="980"/>
      <c r="E84" s="1079"/>
      <c r="F84" s="980"/>
      <c r="G84" s="1079"/>
      <c r="H84" s="980"/>
      <c r="I84" s="1079"/>
      <c r="K84"/>
    </row>
    <row r="85" spans="1:11" x14ac:dyDescent="0.25">
      <c r="A85" s="238" t="s">
        <v>866</v>
      </c>
      <c r="B85" s="207" t="s">
        <v>867</v>
      </c>
      <c r="C85" s="610">
        <f>A86</f>
        <v>4</v>
      </c>
      <c r="D85" s="610"/>
      <c r="E85" s="976">
        <f>IF(D85="S",$C85,IF(D86="S",$C86,IF(D87="S",$C87,)))</f>
        <v>3</v>
      </c>
      <c r="F85" s="511"/>
      <c r="G85" s="976">
        <f>IF(F85="S",$C85,IF(F86="S",$C86,IF(F87="S",$C87,)))</f>
        <v>3</v>
      </c>
      <c r="H85" s="511"/>
      <c r="I85" s="976">
        <f>IF(H85="S",$C85,IF(H86="S",$C86,IF(H87="S",$C87,)))</f>
        <v>0</v>
      </c>
    </row>
    <row r="86" spans="1:11" x14ac:dyDescent="0.25">
      <c r="A86" s="248">
        <v>4</v>
      </c>
      <c r="B86" s="207" t="s">
        <v>869</v>
      </c>
      <c r="C86" s="610">
        <v>3</v>
      </c>
      <c r="D86" s="355" t="s">
        <v>108</v>
      </c>
      <c r="E86" s="977"/>
      <c r="F86" s="355" t="s">
        <v>108</v>
      </c>
      <c r="G86" s="977"/>
      <c r="H86" s="511"/>
      <c r="I86" s="977"/>
    </row>
    <row r="87" spans="1:11" x14ac:dyDescent="0.25">
      <c r="A87" s="605"/>
      <c r="B87" s="207" t="s">
        <v>868</v>
      </c>
      <c r="C87" s="610">
        <v>1</v>
      </c>
      <c r="D87" s="610"/>
      <c r="E87" s="978"/>
      <c r="F87" s="511"/>
      <c r="G87" s="978"/>
      <c r="H87" s="511"/>
      <c r="I87" s="978"/>
    </row>
    <row r="88" spans="1:11" ht="15.6" x14ac:dyDescent="0.25">
      <c r="A88" s="204" t="s">
        <v>871</v>
      </c>
      <c r="B88" s="193" t="s">
        <v>870</v>
      </c>
      <c r="C88" s="609">
        <f>A89</f>
        <v>4</v>
      </c>
      <c r="D88" s="979">
        <v>0</v>
      </c>
      <c r="E88" s="979">
        <f>IF(D88&gt;8.9,$C88,IF(D88&gt;1,$C89,IF(D88&gt;0,$C90,)))</f>
        <v>0</v>
      </c>
      <c r="F88" s="979">
        <v>9</v>
      </c>
      <c r="G88" s="979">
        <f>IF(F88&gt;8.9,$C88,IF(F88&gt;4.9,$C89,IF(F88&gt;0,$C90,)))</f>
        <v>4</v>
      </c>
      <c r="H88" s="979"/>
      <c r="I88" s="979">
        <f>IF(H88&gt;8.9,$C88,IF(H88&gt;4.9,$C89,IF(H88&gt;0,$C90,)))</f>
        <v>0</v>
      </c>
    </row>
    <row r="89" spans="1:11" x14ac:dyDescent="0.25">
      <c r="A89" s="107">
        <v>4</v>
      </c>
      <c r="B89" s="193" t="s">
        <v>1090</v>
      </c>
      <c r="C89" s="609">
        <v>2</v>
      </c>
      <c r="D89" s="980"/>
      <c r="E89" s="980"/>
      <c r="F89" s="980"/>
      <c r="G89" s="980"/>
      <c r="H89" s="980"/>
      <c r="I89" s="980"/>
    </row>
    <row r="90" spans="1:11" x14ac:dyDescent="0.25">
      <c r="A90" s="604"/>
      <c r="B90" s="193" t="s">
        <v>791</v>
      </c>
      <c r="C90" s="609">
        <v>0</v>
      </c>
      <c r="D90" s="981"/>
      <c r="E90" s="981"/>
      <c r="F90" s="981"/>
      <c r="G90" s="981"/>
      <c r="H90" s="981"/>
      <c r="I90" s="981"/>
    </row>
    <row r="91" spans="1:11" x14ac:dyDescent="0.25">
      <c r="A91" s="238" t="s">
        <v>872</v>
      </c>
      <c r="B91" s="406" t="s">
        <v>875</v>
      </c>
      <c r="C91" s="610">
        <f>A92</f>
        <v>4</v>
      </c>
      <c r="D91" s="1029">
        <v>10</v>
      </c>
      <c r="E91" s="1080">
        <f>IF(D91&gt;19.9,$C93,IF(D91&gt;14.9,$C92,IF(D91&gt;0,$C91,)))</f>
        <v>4</v>
      </c>
      <c r="F91" s="1029">
        <v>10</v>
      </c>
      <c r="G91" s="1080">
        <f>IF(F91&gt;19.9,$C93,IF(F91&gt;14.9,$C92,IF(F91&gt;0,$C91,)))</f>
        <v>4</v>
      </c>
      <c r="H91" s="1029"/>
      <c r="I91" s="1080">
        <f>IF(H91&gt;19.9,$C93,IF(H91&gt;14.9,$C92,IF(H91&gt;0,$C91,)))</f>
        <v>0</v>
      </c>
    </row>
    <row r="92" spans="1:11" x14ac:dyDescent="0.25">
      <c r="A92" s="605">
        <v>4</v>
      </c>
      <c r="B92" s="207" t="s">
        <v>874</v>
      </c>
      <c r="C92" s="610">
        <v>3</v>
      </c>
      <c r="D92" s="1030"/>
      <c r="E92" s="1080"/>
      <c r="F92" s="1030"/>
      <c r="G92" s="1080"/>
      <c r="H92" s="1030"/>
      <c r="I92" s="1080"/>
    </row>
    <row r="93" spans="1:11" x14ac:dyDescent="0.25">
      <c r="A93" s="606"/>
      <c r="B93" s="207" t="s">
        <v>873</v>
      </c>
      <c r="C93" s="610">
        <v>0</v>
      </c>
      <c r="D93" s="1033"/>
      <c r="E93" s="1080"/>
      <c r="F93" s="1033"/>
      <c r="G93" s="1080"/>
      <c r="H93" s="1033"/>
      <c r="I93" s="1080"/>
    </row>
    <row r="94" spans="1:11" s="96" customFormat="1" x14ac:dyDescent="0.25">
      <c r="A94" s="204" t="s">
        <v>876</v>
      </c>
      <c r="B94" s="193" t="s">
        <v>723</v>
      </c>
      <c r="C94" s="609">
        <f>A95</f>
        <v>4</v>
      </c>
      <c r="D94" s="609"/>
      <c r="E94" s="979">
        <f>IF(D94="S",$C94,IF(D95="S",$C95,IF(D96="S",$C96,)))</f>
        <v>0</v>
      </c>
      <c r="F94" s="114" t="s">
        <v>108</v>
      </c>
      <c r="G94" s="979">
        <f>IF(F94="S",$C94,IF(F95="S",$C95,IF(F96="S",$C96,)))</f>
        <v>4</v>
      </c>
      <c r="H94" s="512"/>
      <c r="I94" s="979">
        <f>IF(H94="S",$C94,IF(H95="S",$C95,IF(H96="S",$C96,)))</f>
        <v>0</v>
      </c>
    </row>
    <row r="95" spans="1:11" s="96" customFormat="1" x14ac:dyDescent="0.25">
      <c r="A95" s="107">
        <v>4</v>
      </c>
      <c r="B95" s="193" t="s">
        <v>886</v>
      </c>
      <c r="C95" s="609">
        <v>2</v>
      </c>
      <c r="D95" s="626"/>
      <c r="E95" s="980"/>
      <c r="F95" s="114"/>
      <c r="G95" s="980"/>
      <c r="H95" s="512"/>
      <c r="I95" s="980"/>
    </row>
    <row r="96" spans="1:11" s="96" customFormat="1" x14ac:dyDescent="0.25">
      <c r="A96" s="107"/>
      <c r="B96" s="193" t="s">
        <v>791</v>
      </c>
      <c r="C96" s="609">
        <v>0</v>
      </c>
      <c r="D96" s="114" t="s">
        <v>108</v>
      </c>
      <c r="E96" s="981"/>
      <c r="F96" s="512"/>
      <c r="G96" s="981"/>
      <c r="H96" s="512"/>
      <c r="I96" s="981"/>
    </row>
    <row r="97" spans="1:9" s="96" customFormat="1" x14ac:dyDescent="0.25">
      <c r="A97" s="238" t="s">
        <v>1078</v>
      </c>
      <c r="B97" s="207" t="s">
        <v>879</v>
      </c>
      <c r="C97" s="610">
        <v>3</v>
      </c>
      <c r="D97" s="1029">
        <v>3</v>
      </c>
      <c r="E97" s="1080">
        <f>IF(D97&gt;3.9,$C97,IF(D97&gt;2.9,$C98,IF(D97&gt;0,$C99,)))</f>
        <v>2</v>
      </c>
      <c r="F97" s="1029">
        <v>4</v>
      </c>
      <c r="G97" s="1080">
        <f>IF(F97&gt;3.9,$C97,IF(F97&gt;2.9,$C98,IF(F97&gt;0,$C99,)))</f>
        <v>3</v>
      </c>
      <c r="H97" s="1029">
        <v>2</v>
      </c>
      <c r="I97" s="1080">
        <f>IF(H97&gt;3.9,$C97,IF(H97&gt;2.9,$C98,IF(H97&gt;0,$C99,)))</f>
        <v>1</v>
      </c>
    </row>
    <row r="98" spans="1:9" s="96" customFormat="1" x14ac:dyDescent="0.25">
      <c r="A98" s="248">
        <v>3</v>
      </c>
      <c r="B98" s="207" t="s">
        <v>887</v>
      </c>
      <c r="C98" s="610">
        <v>2</v>
      </c>
      <c r="D98" s="1030"/>
      <c r="E98" s="1080"/>
      <c r="F98" s="1030"/>
      <c r="G98" s="1080"/>
      <c r="H98" s="1030"/>
      <c r="I98" s="1080"/>
    </row>
    <row r="99" spans="1:9" s="96" customFormat="1" x14ac:dyDescent="0.25">
      <c r="A99" s="293"/>
      <c r="B99" s="207" t="s">
        <v>880</v>
      </c>
      <c r="C99" s="610">
        <v>1</v>
      </c>
      <c r="D99" s="1033"/>
      <c r="E99" s="1080"/>
      <c r="F99" s="1033"/>
      <c r="G99" s="1080"/>
      <c r="H99" s="1033"/>
      <c r="I99" s="1080"/>
    </row>
    <row r="100" spans="1:9" x14ac:dyDescent="0.25">
      <c r="A100" s="204" t="s">
        <v>15</v>
      </c>
      <c r="B100" s="193" t="s">
        <v>878</v>
      </c>
      <c r="C100" s="660">
        <v>1</v>
      </c>
      <c r="D100" s="660"/>
      <c r="E100" s="114">
        <f>IF(D100="S",$C100,)</f>
        <v>0</v>
      </c>
      <c r="F100" s="114" t="s">
        <v>108</v>
      </c>
      <c r="G100" s="114">
        <f>IF(F100="S",$C100,)</f>
        <v>1</v>
      </c>
      <c r="H100" s="512"/>
      <c r="I100" s="114">
        <f>IF(H100="S",$C100,)</f>
        <v>0</v>
      </c>
    </row>
    <row r="101" spans="1:9" x14ac:dyDescent="0.25">
      <c r="A101" s="107">
        <v>2</v>
      </c>
      <c r="B101" s="193" t="s">
        <v>889</v>
      </c>
      <c r="C101" s="660">
        <v>1</v>
      </c>
      <c r="D101" s="660"/>
      <c r="E101" s="114">
        <f t="shared" ref="E101" si="6">IF(D101="S",$C101,)</f>
        <v>0</v>
      </c>
      <c r="F101" s="114"/>
      <c r="G101" s="114">
        <f t="shared" ref="G101" si="7">IF(F101="S",$C101,)</f>
        <v>0</v>
      </c>
      <c r="H101" s="114" t="s">
        <v>108</v>
      </c>
      <c r="I101" s="114">
        <f>IF(H101="S",$C101,)</f>
        <v>1</v>
      </c>
    </row>
    <row r="102" spans="1:9" x14ac:dyDescent="0.25">
      <c r="A102" s="619" t="s">
        <v>50</v>
      </c>
      <c r="B102" s="622">
        <f>SUM(A71:A101)</f>
        <v>45</v>
      </c>
      <c r="C102" s="620"/>
      <c r="D102" s="620"/>
      <c r="E102" s="620">
        <f>SUM(E71:E101)</f>
        <v>25</v>
      </c>
      <c r="F102" s="619"/>
      <c r="G102" s="620">
        <f>SUM(G71:G101)</f>
        <v>41</v>
      </c>
      <c r="H102" s="619"/>
      <c r="I102" s="620">
        <f>SUM(I71:I101)</f>
        <v>2</v>
      </c>
    </row>
    <row r="103" spans="1:9" x14ac:dyDescent="0.25">
      <c r="A103" s="112"/>
      <c r="B103" s="112"/>
      <c r="C103" s="88"/>
      <c r="D103" s="88"/>
      <c r="E103" s="88"/>
      <c r="F103" s="112"/>
    </row>
    <row r="104" spans="1:9" x14ac:dyDescent="0.25">
      <c r="A104" s="112"/>
      <c r="B104" s="112"/>
      <c r="C104" s="112"/>
      <c r="D104" s="1093" t="str">
        <f>$D$4</f>
        <v>ELPRO</v>
      </c>
      <c r="E104" s="1094"/>
      <c r="F104" s="1093" t="str">
        <f>$F$4</f>
        <v>UTE BGL ALMERIMATIK</v>
      </c>
      <c r="G104" s="1094"/>
      <c r="H104" s="1093" t="str">
        <f>$H$4</f>
        <v>VITELSA</v>
      </c>
      <c r="I104" s="1094"/>
    </row>
    <row r="105" spans="1:9" x14ac:dyDescent="0.25">
      <c r="A105" s="1090" t="s">
        <v>832</v>
      </c>
      <c r="B105" s="1091"/>
      <c r="C105" s="1092"/>
      <c r="D105" s="1095">
        <f>(E26+E66+E102)/3</f>
        <v>32.666666666666664</v>
      </c>
      <c r="E105" s="1096"/>
      <c r="F105" s="1095">
        <f>(G26+G66+G102)/3</f>
        <v>39.666666666666664</v>
      </c>
      <c r="G105" s="1096"/>
      <c r="H105" s="1095">
        <f>(I26+I66+I102)/3</f>
        <v>7.333333333333333</v>
      </c>
      <c r="I105" s="1096"/>
    </row>
    <row r="106" spans="1:9" x14ac:dyDescent="0.25">
      <c r="A106" s="1090" t="s">
        <v>1073</v>
      </c>
      <c r="B106" s="1091"/>
      <c r="C106" s="1092"/>
      <c r="D106" s="1097">
        <f>D105*15/45</f>
        <v>10.888888888888888</v>
      </c>
      <c r="E106" s="1097"/>
      <c r="F106" s="1097">
        <f>F105*15/45</f>
        <v>13.222222222222221</v>
      </c>
      <c r="G106" s="1097"/>
      <c r="H106" s="1097">
        <f>H105*15/45</f>
        <v>2.4444444444444446</v>
      </c>
      <c r="I106" s="1097"/>
    </row>
    <row r="107" spans="1:9" x14ac:dyDescent="0.25">
      <c r="A107" s="1090" t="s">
        <v>1074</v>
      </c>
      <c r="B107" s="1091"/>
      <c r="C107" s="1091"/>
      <c r="D107" s="1097">
        <f>'Mejoras y Puntos Totales'!H31</f>
        <v>18.704999999999998</v>
      </c>
      <c r="E107" s="1097"/>
      <c r="F107" s="1097">
        <f>'Mejoras y Puntos Totales'!F31</f>
        <v>21.131</v>
      </c>
      <c r="G107" s="1097"/>
      <c r="H107" s="1097">
        <f>'Mejoras y Puntos Totales'!J31</f>
        <v>14.343000000000005</v>
      </c>
      <c r="I107" s="1097"/>
    </row>
    <row r="108" spans="1:9" x14ac:dyDescent="0.25">
      <c r="A108" s="1099" t="s">
        <v>1075</v>
      </c>
      <c r="B108" s="1100"/>
      <c r="C108" s="1101"/>
      <c r="D108" s="1098">
        <f>D106+D107</f>
        <v>29.593888888888884</v>
      </c>
      <c r="E108" s="1098"/>
      <c r="F108" s="1098">
        <f>F106+F107</f>
        <v>34.353222222222222</v>
      </c>
      <c r="G108" s="1098"/>
      <c r="H108" s="1098">
        <f>H106+H107</f>
        <v>16.78744444444445</v>
      </c>
      <c r="I108" s="1098"/>
    </row>
    <row r="110" spans="1:9" hidden="1" x14ac:dyDescent="0.25"/>
    <row r="111" spans="1:9" ht="14.4" hidden="1" x14ac:dyDescent="0.3">
      <c r="A111" s="118" t="s">
        <v>209</v>
      </c>
      <c r="B111" s="118" t="s">
        <v>784</v>
      </c>
      <c r="E111" s="917" t="s">
        <v>210</v>
      </c>
    </row>
    <row r="112" spans="1:9" hidden="1" x14ac:dyDescent="0.25">
      <c r="E112" s="918"/>
    </row>
    <row r="113" spans="1:5" hidden="1" x14ac:dyDescent="0.25">
      <c r="E113" s="918"/>
    </row>
    <row r="114" spans="1:5" hidden="1" x14ac:dyDescent="0.25">
      <c r="E114" s="918"/>
    </row>
    <row r="115" spans="1:5" ht="14.4" hidden="1" x14ac:dyDescent="0.3">
      <c r="A115" s="118" t="s">
        <v>785</v>
      </c>
      <c r="B115" s="118" t="s">
        <v>786</v>
      </c>
      <c r="E115" s="917" t="s">
        <v>787</v>
      </c>
    </row>
    <row r="116" spans="1:5" hidden="1" x14ac:dyDescent="0.25"/>
  </sheetData>
  <mergeCells count="154">
    <mergeCell ref="D107:E107"/>
    <mergeCell ref="D108:E108"/>
    <mergeCell ref="A107:C107"/>
    <mergeCell ref="F107:G107"/>
    <mergeCell ref="H107:I107"/>
    <mergeCell ref="F108:G108"/>
    <mergeCell ref="H108:I108"/>
    <mergeCell ref="A108:C108"/>
    <mergeCell ref="I94:I96"/>
    <mergeCell ref="A105:C105"/>
    <mergeCell ref="A106:C106"/>
    <mergeCell ref="D106:E106"/>
    <mergeCell ref="F106:G106"/>
    <mergeCell ref="H106:I106"/>
    <mergeCell ref="E94:E96"/>
    <mergeCell ref="G94:G96"/>
    <mergeCell ref="D105:E105"/>
    <mergeCell ref="F105:G105"/>
    <mergeCell ref="D104:E104"/>
    <mergeCell ref="F104:G104"/>
    <mergeCell ref="H104:I104"/>
    <mergeCell ref="D97:D99"/>
    <mergeCell ref="E97:E99"/>
    <mergeCell ref="F97:F99"/>
    <mergeCell ref="G97:G99"/>
    <mergeCell ref="H97:H99"/>
    <mergeCell ref="I97:I99"/>
    <mergeCell ref="D4:E4"/>
    <mergeCell ref="E15:E17"/>
    <mergeCell ref="E24:E25"/>
    <mergeCell ref="D29:E29"/>
    <mergeCell ref="E41:E44"/>
    <mergeCell ref="E85:E87"/>
    <mergeCell ref="E18:E21"/>
    <mergeCell ref="G18:G21"/>
    <mergeCell ref="E22:E23"/>
    <mergeCell ref="G22:G23"/>
    <mergeCell ref="E6:E7"/>
    <mergeCell ref="E35:E37"/>
    <mergeCell ref="G35:G37"/>
    <mergeCell ref="E38:E40"/>
    <mergeCell ref="G38:G40"/>
    <mergeCell ref="G41:G44"/>
    <mergeCell ref="E8:E10"/>
    <mergeCell ref="G8:G10"/>
    <mergeCell ref="F29:G29"/>
    <mergeCell ref="F4:G4"/>
    <mergeCell ref="G73:G74"/>
    <mergeCell ref="I35:I37"/>
    <mergeCell ref="I38:I40"/>
    <mergeCell ref="I41:I44"/>
    <mergeCell ref="I22:I23"/>
    <mergeCell ref="I24:I25"/>
    <mergeCell ref="G15:G17"/>
    <mergeCell ref="A31:I31"/>
    <mergeCell ref="E51:E53"/>
    <mergeCell ref="F51:F53"/>
    <mergeCell ref="D48:D49"/>
    <mergeCell ref="E48:E49"/>
    <mergeCell ref="F48:F49"/>
    <mergeCell ref="G48:G49"/>
    <mergeCell ref="H48:H49"/>
    <mergeCell ref="H4:I4"/>
    <mergeCell ref="I6:I7"/>
    <mergeCell ref="I8:I10"/>
    <mergeCell ref="I15:I17"/>
    <mergeCell ref="I18:I21"/>
    <mergeCell ref="G6:G7"/>
    <mergeCell ref="G24:G25"/>
    <mergeCell ref="I32:I34"/>
    <mergeCell ref="H29:I29"/>
    <mergeCell ref="H105:I105"/>
    <mergeCell ref="D15:D17"/>
    <mergeCell ref="F15:F17"/>
    <mergeCell ref="H15:H17"/>
    <mergeCell ref="D38:D40"/>
    <mergeCell ref="F38:F40"/>
    <mergeCell ref="H38:H40"/>
    <mergeCell ref="D32:D34"/>
    <mergeCell ref="E32:E34"/>
    <mergeCell ref="F32:F34"/>
    <mergeCell ref="G32:G34"/>
    <mergeCell ref="H32:H34"/>
    <mergeCell ref="D35:D37"/>
    <mergeCell ref="F35:F37"/>
    <mergeCell ref="H35:H37"/>
    <mergeCell ref="I48:I49"/>
    <mergeCell ref="D63:D65"/>
    <mergeCell ref="F63:F65"/>
    <mergeCell ref="H63:H65"/>
    <mergeCell ref="I51:I53"/>
    <mergeCell ref="G60:G62"/>
    <mergeCell ref="E83:E84"/>
    <mergeCell ref="G83:G84"/>
    <mergeCell ref="E75:E77"/>
    <mergeCell ref="D69:E69"/>
    <mergeCell ref="F54:F56"/>
    <mergeCell ref="G78:G80"/>
    <mergeCell ref="E73:E74"/>
    <mergeCell ref="I75:I77"/>
    <mergeCell ref="G75:G77"/>
    <mergeCell ref="D88:D90"/>
    <mergeCell ref="E88:E90"/>
    <mergeCell ref="F88:F90"/>
    <mergeCell ref="G88:G90"/>
    <mergeCell ref="F69:G69"/>
    <mergeCell ref="H69:I69"/>
    <mergeCell ref="E71:E72"/>
    <mergeCell ref="G71:G72"/>
    <mergeCell ref="I71:I72"/>
    <mergeCell ref="H88:H90"/>
    <mergeCell ref="I83:I84"/>
    <mergeCell ref="I78:I80"/>
    <mergeCell ref="A70:I70"/>
    <mergeCell ref="D83:D84"/>
    <mergeCell ref="F83:F84"/>
    <mergeCell ref="H83:H84"/>
    <mergeCell ref="D54:D56"/>
    <mergeCell ref="H54:H56"/>
    <mergeCell ref="E63:E65"/>
    <mergeCell ref="G63:G65"/>
    <mergeCell ref="E57:E59"/>
    <mergeCell ref="F57:F59"/>
    <mergeCell ref="G57:G59"/>
    <mergeCell ref="H57:H59"/>
    <mergeCell ref="H51:H53"/>
    <mergeCell ref="A50:I50"/>
    <mergeCell ref="E60:E62"/>
    <mergeCell ref="E54:E56"/>
    <mergeCell ref="G54:G56"/>
    <mergeCell ref="I54:I56"/>
    <mergeCell ref="I60:I62"/>
    <mergeCell ref="I57:I59"/>
    <mergeCell ref="G51:G53"/>
    <mergeCell ref="D51:D53"/>
    <mergeCell ref="D57:D59"/>
    <mergeCell ref="I63:I65"/>
    <mergeCell ref="I88:I90"/>
    <mergeCell ref="I91:I93"/>
    <mergeCell ref="D81:D82"/>
    <mergeCell ref="E81:E82"/>
    <mergeCell ref="F81:F82"/>
    <mergeCell ref="G81:G82"/>
    <mergeCell ref="H81:H82"/>
    <mergeCell ref="E78:E80"/>
    <mergeCell ref="I73:I74"/>
    <mergeCell ref="D91:D93"/>
    <mergeCell ref="E91:E93"/>
    <mergeCell ref="F91:F93"/>
    <mergeCell ref="G91:G93"/>
    <mergeCell ref="H91:H93"/>
    <mergeCell ref="I81:I82"/>
    <mergeCell ref="G85:G87"/>
    <mergeCell ref="I85:I87"/>
  </mergeCells>
  <pageMargins left="0.78740157480314965" right="0.78740157480314965" top="0.78740157480314965" bottom="0.39370078740157483" header="0.59055118110236227" footer="0.59055118110236227"/>
  <pageSetup paperSize="9" scale="81" fitToHeight="4" orientation="landscape" horizontalDpi="300" verticalDpi="300" r:id="rId1"/>
  <headerFooter alignWithMargins="0">
    <oddHeader>&amp;L&amp;"Arial,Negrita"ANEXO I&amp;C&amp;11Lote 5: Multimedia Sala Reuniones y Sala de Espera&amp;RPágina &amp;P de &amp;N</oddHeader>
  </headerFooter>
  <rowBreaks count="2" manualBreakCount="2">
    <brk id="28" max="16383" man="1"/>
    <brk id="6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85" zoomScaleSheetLayoutView="100" workbookViewId="0">
      <selection activeCell="B6" sqref="B6"/>
    </sheetView>
  </sheetViews>
  <sheetFormatPr baseColWidth="10" defaultRowHeight="13.2" x14ac:dyDescent="0.25"/>
  <cols>
    <col min="1" max="1" width="10.5546875" customWidth="1"/>
    <col min="2" max="2" width="63.33203125" customWidth="1"/>
    <col min="3" max="3" width="13.6640625" customWidth="1"/>
    <col min="4" max="4" width="13.109375" customWidth="1"/>
    <col min="5" max="5" width="17.109375" customWidth="1"/>
    <col min="6" max="6" width="13.5546875" bestFit="1" customWidth="1"/>
    <col min="12" max="12" width="12.6640625" customWidth="1"/>
  </cols>
  <sheetData>
    <row r="1" spans="1:11" x14ac:dyDescent="0.25">
      <c r="A1" s="16" t="str">
        <f>Empresas!A1</f>
        <v>EXPEDIENTE Nº 495/11</v>
      </c>
      <c r="B1" s="16"/>
      <c r="C1" s="16"/>
      <c r="D1" s="16"/>
      <c r="E1" s="16"/>
      <c r="F1" s="16"/>
    </row>
    <row r="2" spans="1:11" ht="13.8" thickBot="1" x14ac:dyDescent="0.3">
      <c r="A2" s="16" t="str">
        <f>Empresas!A2</f>
        <v>SUMINISTRO  E INSTALACIÓN DE DIVERSO EQUIPAMIENTO PARA EL EDIFICIO DE GOBIERNO</v>
      </c>
      <c r="B2" s="17"/>
      <c r="C2" s="17"/>
      <c r="E2" s="16"/>
      <c r="F2" s="16"/>
      <c r="G2" s="16"/>
    </row>
    <row r="3" spans="1:11" s="12" customFormat="1" x14ac:dyDescent="0.25">
      <c r="A3" s="2"/>
      <c r="B3" s="2"/>
      <c r="C3" s="2"/>
      <c r="D3" s="2"/>
      <c r="E3" s="16"/>
      <c r="F3" s="16"/>
    </row>
    <row r="4" spans="1:11" ht="13.8" x14ac:dyDescent="0.25">
      <c r="A4" s="79"/>
      <c r="B4" s="79"/>
      <c r="C4" s="79"/>
      <c r="D4" s="79"/>
      <c r="E4" s="15"/>
      <c r="F4" s="15"/>
      <c r="G4" s="15"/>
      <c r="H4" s="5"/>
    </row>
    <row r="5" spans="1:11" ht="14.25" customHeight="1" x14ac:dyDescent="0.25">
      <c r="A5" s="3" t="str">
        <f>Empresas!A89</f>
        <v>LOTE 6: CORTINAJE</v>
      </c>
      <c r="B5" s="3"/>
      <c r="C5" s="80"/>
      <c r="D5" s="4"/>
      <c r="F5" s="81">
        <f>Empresas!F89</f>
        <v>50847.46</v>
      </c>
      <c r="G5" s="6" t="s">
        <v>1</v>
      </c>
      <c r="H5" s="180">
        <v>45</v>
      </c>
    </row>
    <row r="6" spans="1:11" ht="14.25" customHeight="1" x14ac:dyDescent="0.25">
      <c r="A6" s="3"/>
      <c r="B6" s="3"/>
      <c r="C6" s="3"/>
      <c r="D6" s="4"/>
      <c r="E6" s="5"/>
      <c r="F6" s="6"/>
      <c r="G6" s="180"/>
    </row>
    <row r="7" spans="1:11" ht="39.6" x14ac:dyDescent="0.25">
      <c r="A7" s="55" t="s">
        <v>192</v>
      </c>
      <c r="B7" s="7" t="s">
        <v>6</v>
      </c>
      <c r="C7" s="7" t="s">
        <v>7</v>
      </c>
      <c r="D7" s="18" t="s">
        <v>54</v>
      </c>
      <c r="E7" s="18" t="s">
        <v>55</v>
      </c>
      <c r="F7" s="18" t="s">
        <v>111</v>
      </c>
      <c r="G7" s="8" t="s">
        <v>4</v>
      </c>
    </row>
    <row r="8" spans="1:11" x14ac:dyDescent="0.25">
      <c r="A8" s="104" t="s">
        <v>333</v>
      </c>
      <c r="B8" s="58" t="s">
        <v>345</v>
      </c>
      <c r="C8" s="42">
        <v>1</v>
      </c>
      <c r="D8" s="9">
        <f>56000/1.18</f>
        <v>47457.627118644072</v>
      </c>
      <c r="E8" s="9">
        <f>D8*1.18</f>
        <v>56000</v>
      </c>
      <c r="F8" s="9">
        <f>E8</f>
        <v>56000</v>
      </c>
      <c r="G8" s="82">
        <f>(F8*100)/$F$13</f>
        <v>90.273223905592872</v>
      </c>
      <c r="K8" s="113"/>
    </row>
    <row r="9" spans="1:11" x14ac:dyDescent="0.25">
      <c r="A9" s="104" t="s">
        <v>334</v>
      </c>
      <c r="B9" s="58" t="s">
        <v>346</v>
      </c>
      <c r="C9" s="42">
        <v>1</v>
      </c>
      <c r="D9" s="9">
        <f>4000/1.18</f>
        <v>3389.8305084745766</v>
      </c>
      <c r="E9" s="9">
        <f>D9*1.18</f>
        <v>4000</v>
      </c>
      <c r="F9" s="9">
        <f>E9</f>
        <v>4000</v>
      </c>
      <c r="G9" s="82">
        <f t="shared" ref="G9:G12" si="0">(F9*100)/$F$13</f>
        <v>6.4480874218280624</v>
      </c>
      <c r="K9" s="113"/>
    </row>
    <row r="10" spans="1:11" x14ac:dyDescent="0.25">
      <c r="B10" s="612" t="s">
        <v>354</v>
      </c>
      <c r="C10" s="516">
        <v>1</v>
      </c>
      <c r="D10" s="512"/>
      <c r="E10" s="9">
        <f>F5/100</f>
        <v>508.47460000000001</v>
      </c>
      <c r="F10" s="60">
        <f>C10*E10</f>
        <v>508.47460000000001</v>
      </c>
      <c r="G10" s="82">
        <f t="shared" si="0"/>
        <v>0.81967216814476385</v>
      </c>
    </row>
    <row r="11" spans="1:11" x14ac:dyDescent="0.25">
      <c r="B11" s="436" t="s">
        <v>654</v>
      </c>
      <c r="C11" s="516">
        <v>1</v>
      </c>
      <c r="D11" s="512"/>
      <c r="E11" s="9">
        <f>F5/100</f>
        <v>508.47460000000001</v>
      </c>
      <c r="F11" s="60">
        <f>C11*E11</f>
        <v>508.47460000000001</v>
      </c>
      <c r="G11" s="82">
        <f t="shared" si="0"/>
        <v>0.81967216814476385</v>
      </c>
    </row>
    <row r="12" spans="1:11" x14ac:dyDescent="0.25">
      <c r="B12" s="436" t="s">
        <v>355</v>
      </c>
      <c r="C12" s="516">
        <v>1</v>
      </c>
      <c r="D12" s="512"/>
      <c r="E12" s="9">
        <f>(F5*2)/100</f>
        <v>1016.9492</v>
      </c>
      <c r="F12" s="60">
        <f>C12*E12</f>
        <v>1016.9492</v>
      </c>
      <c r="G12" s="82">
        <f t="shared" si="0"/>
        <v>1.6393443362895277</v>
      </c>
    </row>
    <row r="13" spans="1:11" x14ac:dyDescent="0.25">
      <c r="B13" s="344"/>
      <c r="E13" s="11"/>
      <c r="F13" s="345">
        <f>SUM(F8:F12)</f>
        <v>62033.898400000005</v>
      </c>
      <c r="G13" s="346">
        <f>SUM(G1:G12)</f>
        <v>99.999999999999986</v>
      </c>
    </row>
    <row r="17" spans="2:13" x14ac:dyDescent="0.25">
      <c r="C17" s="872" t="str">
        <f>B8</f>
        <v>CORTINAJE EDIFICIO DE GOBIERNO</v>
      </c>
      <c r="D17" s="873"/>
      <c r="E17" s="873"/>
      <c r="F17" s="872" t="str">
        <f>B9</f>
        <v>CORTINAJE ESCENARIO PARANINFO</v>
      </c>
      <c r="G17" s="873"/>
      <c r="H17" s="873"/>
      <c r="I17" s="874"/>
    </row>
    <row r="18" spans="2:13" ht="12.75" customHeight="1" x14ac:dyDescent="0.25">
      <c r="C18" s="875" t="s">
        <v>14</v>
      </c>
      <c r="D18" s="876"/>
      <c r="E18" s="876"/>
      <c r="F18" s="875" t="s">
        <v>14</v>
      </c>
      <c r="G18" s="876"/>
      <c r="H18" s="876"/>
      <c r="I18" s="877"/>
    </row>
    <row r="19" spans="2:13" ht="39.6" x14ac:dyDescent="0.25">
      <c r="B19" s="517" t="s">
        <v>252</v>
      </c>
      <c r="C19" s="517" t="s">
        <v>11</v>
      </c>
      <c r="D19" s="518" t="s">
        <v>12</v>
      </c>
      <c r="E19" s="517" t="s">
        <v>13</v>
      </c>
      <c r="F19" s="517" t="s">
        <v>11</v>
      </c>
      <c r="G19" s="518" t="s">
        <v>12</v>
      </c>
      <c r="H19" s="517" t="s">
        <v>13</v>
      </c>
      <c r="I19" s="519" t="s">
        <v>190</v>
      </c>
    </row>
    <row r="20" spans="2:13" x14ac:dyDescent="0.25">
      <c r="B20" s="8" t="str">
        <f>Empresas!A93</f>
        <v>ANDALUZA DE PAPELERIA (OFIPAPEL)</v>
      </c>
      <c r="C20" s="871">
        <f>'Lote 6 - Items'!E29</f>
        <v>16</v>
      </c>
      <c r="D20" s="25">
        <f>$G$8</f>
        <v>90.273223905592872</v>
      </c>
      <c r="E20" s="25">
        <f>(C20*D20)/100</f>
        <v>14.443715824894859</v>
      </c>
      <c r="F20" s="871">
        <f>'Lote 6 - Items'!E$63</f>
        <v>6</v>
      </c>
      <c r="G20" s="25">
        <f>$G$9</f>
        <v>6.4480874218280624</v>
      </c>
      <c r="H20" s="25">
        <f>(F20*G20)/100</f>
        <v>0.38688524530968371</v>
      </c>
      <c r="I20" s="659">
        <f>E20+G20</f>
        <v>20.891803246722922</v>
      </c>
    </row>
    <row r="21" spans="2:13" x14ac:dyDescent="0.25">
      <c r="B21" s="8" t="str">
        <f>Empresas!A94</f>
        <v>CECILIO MÁRQUEZ</v>
      </c>
      <c r="C21" s="871">
        <f>'Lote 6 - Items'!G29</f>
        <v>37</v>
      </c>
      <c r="D21" s="25">
        <f t="shared" ref="D21:D28" si="1">$G$8</f>
        <v>90.273223905592872</v>
      </c>
      <c r="E21" s="25">
        <f t="shared" ref="E21:E28" si="2">(C21*D21)/100</f>
        <v>33.401092845069364</v>
      </c>
      <c r="F21" s="871">
        <f>'Lote 6 - Items'!G$63</f>
        <v>15</v>
      </c>
      <c r="G21" s="25">
        <f t="shared" ref="G21:G28" si="3">$G$9</f>
        <v>6.4480874218280624</v>
      </c>
      <c r="H21" s="25">
        <f t="shared" ref="H21:H28" si="4">(F21*G21)/100</f>
        <v>0.96721311327420934</v>
      </c>
      <c r="I21" s="659">
        <f t="shared" ref="I21:I28" si="5">E21+G21</f>
        <v>39.849180266897427</v>
      </c>
    </row>
    <row r="22" spans="2:13" x14ac:dyDescent="0.25">
      <c r="B22" s="8" t="str">
        <f>Empresas!A95</f>
        <v>EL CORTE INGLÉS</v>
      </c>
      <c r="C22" s="871">
        <f>'Lote 6 - Items'!I$29</f>
        <v>21</v>
      </c>
      <c r="D22" s="25">
        <f t="shared" si="1"/>
        <v>90.273223905592872</v>
      </c>
      <c r="E22" s="25">
        <f t="shared" si="2"/>
        <v>18.957377020174505</v>
      </c>
      <c r="F22" s="871">
        <f>'Lote 6 - Items'!I$63</f>
        <v>12</v>
      </c>
      <c r="G22" s="25">
        <f t="shared" si="3"/>
        <v>6.4480874218280624</v>
      </c>
      <c r="H22" s="25">
        <f t="shared" si="4"/>
        <v>0.77377049061936742</v>
      </c>
      <c r="I22" s="659">
        <f t="shared" si="5"/>
        <v>25.405464442002568</v>
      </c>
    </row>
    <row r="23" spans="2:13" x14ac:dyDescent="0.25">
      <c r="B23" s="8" t="str">
        <f>Empresas!A96</f>
        <v>GRUPO KAT</v>
      </c>
      <c r="C23" s="871">
        <f>'Lote 6 - Items'!K$29</f>
        <v>2</v>
      </c>
      <c r="D23" s="25">
        <f t="shared" si="1"/>
        <v>90.273223905592872</v>
      </c>
      <c r="E23" s="25">
        <f t="shared" si="2"/>
        <v>1.8054644781118574</v>
      </c>
      <c r="F23" s="871">
        <f>'Lote 6 - Items'!K$63</f>
        <v>0</v>
      </c>
      <c r="G23" s="25">
        <f t="shared" si="3"/>
        <v>6.4480874218280624</v>
      </c>
      <c r="H23" s="25">
        <f t="shared" si="4"/>
        <v>0</v>
      </c>
      <c r="I23" s="659">
        <f t="shared" si="5"/>
        <v>8.2535518999399198</v>
      </c>
    </row>
    <row r="24" spans="2:13" x14ac:dyDescent="0.25">
      <c r="B24" s="8" t="str">
        <f>Empresas!A97</f>
        <v>LABELLA S.L</v>
      </c>
      <c r="C24" s="871">
        <f>'Lote 6 - Items'!M$29</f>
        <v>26</v>
      </c>
      <c r="D24" s="25">
        <f t="shared" si="1"/>
        <v>90.273223905592872</v>
      </c>
      <c r="E24" s="25">
        <f t="shared" si="2"/>
        <v>23.471038215454147</v>
      </c>
      <c r="F24" s="871">
        <f>'Lote 6 - Items'!M$63</f>
        <v>0</v>
      </c>
      <c r="G24" s="25">
        <f t="shared" si="3"/>
        <v>6.4480874218280624</v>
      </c>
      <c r="H24" s="25">
        <f t="shared" si="4"/>
        <v>0</v>
      </c>
      <c r="I24" s="659">
        <f t="shared" si="5"/>
        <v>29.91912563728221</v>
      </c>
    </row>
    <row r="25" spans="2:13" x14ac:dyDescent="0.25">
      <c r="B25" s="8" t="str">
        <f>Empresas!A98</f>
        <v>MUEBLES TINAS</v>
      </c>
      <c r="C25" s="871">
        <f>'Lote 6 - Items'!O$29</f>
        <v>33</v>
      </c>
      <c r="D25" s="25">
        <f t="shared" si="1"/>
        <v>90.273223905592872</v>
      </c>
      <c r="E25" s="25">
        <f t="shared" si="2"/>
        <v>29.790163888845644</v>
      </c>
      <c r="F25" s="871">
        <f>'Lote 6 - Items'!O$63</f>
        <v>15</v>
      </c>
      <c r="G25" s="25">
        <f t="shared" si="3"/>
        <v>6.4480874218280624</v>
      </c>
      <c r="H25" s="25">
        <f t="shared" si="4"/>
        <v>0.96721311327420934</v>
      </c>
      <c r="I25" s="659">
        <f t="shared" si="5"/>
        <v>36.238251310673704</v>
      </c>
    </row>
    <row r="26" spans="2:13" x14ac:dyDescent="0.25">
      <c r="B26" s="8" t="str">
        <f>Empresas!A99</f>
        <v>OFINET</v>
      </c>
      <c r="C26" s="871">
        <f>'Lote 6 - Items'!Q$29</f>
        <v>29</v>
      </c>
      <c r="D26" s="25">
        <f t="shared" si="1"/>
        <v>90.273223905592872</v>
      </c>
      <c r="E26" s="25">
        <f t="shared" si="2"/>
        <v>26.179234932621934</v>
      </c>
      <c r="F26" s="871">
        <f>'Lote 6 - Items'!Q$63</f>
        <v>12</v>
      </c>
      <c r="G26" s="25">
        <f t="shared" si="3"/>
        <v>6.4480874218280624</v>
      </c>
      <c r="H26" s="25">
        <f t="shared" si="4"/>
        <v>0.77377049061936742</v>
      </c>
      <c r="I26" s="659">
        <f t="shared" si="5"/>
        <v>32.627322354449994</v>
      </c>
    </row>
    <row r="27" spans="2:13" x14ac:dyDescent="0.25">
      <c r="B27" s="8" t="str">
        <f>Empresas!A100</f>
        <v>PAPELERÍA COLÓN</v>
      </c>
      <c r="C27" s="871">
        <f>'Lote 6 - Items'!S$29</f>
        <v>16</v>
      </c>
      <c r="D27" s="25">
        <f t="shared" si="1"/>
        <v>90.273223905592872</v>
      </c>
      <c r="E27" s="25">
        <f t="shared" si="2"/>
        <v>14.443715824894859</v>
      </c>
      <c r="F27" s="871">
        <f>'Lote 6 - Items'!S$63</f>
        <v>0</v>
      </c>
      <c r="G27" s="25">
        <f t="shared" si="3"/>
        <v>6.4480874218280624</v>
      </c>
      <c r="H27" s="25">
        <f t="shared" si="4"/>
        <v>0</v>
      </c>
      <c r="I27" s="659">
        <f t="shared" si="5"/>
        <v>20.891803246722922</v>
      </c>
    </row>
    <row r="28" spans="2:13" x14ac:dyDescent="0.25">
      <c r="B28" s="8" t="str">
        <f>Empresas!A101</f>
        <v>TEXTIL HOGAR</v>
      </c>
      <c r="C28" s="871">
        <f>'Lote 6 - Items'!U$29</f>
        <v>42</v>
      </c>
      <c r="D28" s="25">
        <f t="shared" si="1"/>
        <v>90.273223905592872</v>
      </c>
      <c r="E28" s="25">
        <f t="shared" si="2"/>
        <v>37.91475404034901</v>
      </c>
      <c r="F28" s="871">
        <f>'Lote 6 - Items'!U$63</f>
        <v>22</v>
      </c>
      <c r="G28" s="25">
        <f t="shared" si="3"/>
        <v>6.4480874218280624</v>
      </c>
      <c r="H28" s="25">
        <f t="shared" si="4"/>
        <v>1.4185792328021736</v>
      </c>
      <c r="I28" s="659">
        <f t="shared" si="5"/>
        <v>44.362841462177073</v>
      </c>
    </row>
    <row r="29" spans="2:13" x14ac:dyDescent="0.25">
      <c r="F29" s="131"/>
    </row>
    <row r="32" spans="2:13" x14ac:dyDescent="0.25">
      <c r="C32" s="1056" t="s">
        <v>664</v>
      </c>
      <c r="D32" s="1057"/>
      <c r="E32" s="1057"/>
      <c r="F32" s="1057"/>
      <c r="G32" s="1057"/>
      <c r="H32" s="1057"/>
      <c r="I32" s="1057"/>
      <c r="J32" s="1057"/>
      <c r="K32" s="1058"/>
      <c r="L32" s="1065" t="s">
        <v>665</v>
      </c>
      <c r="M32" s="1065" t="s">
        <v>660</v>
      </c>
    </row>
    <row r="33" spans="2:14" x14ac:dyDescent="0.25">
      <c r="C33" s="1059"/>
      <c r="D33" s="1060"/>
      <c r="E33" s="1060"/>
      <c r="F33" s="1060"/>
      <c r="G33" s="1060"/>
      <c r="H33" s="1060"/>
      <c r="I33" s="1060"/>
      <c r="J33" s="1060"/>
      <c r="K33" s="1061"/>
      <c r="L33" s="1066"/>
      <c r="M33" s="1066"/>
    </row>
    <row r="34" spans="2:14" x14ac:dyDescent="0.25">
      <c r="C34" s="1062"/>
      <c r="D34" s="1063"/>
      <c r="E34" s="1063"/>
      <c r="F34" s="1063"/>
      <c r="G34" s="1063"/>
      <c r="H34" s="1063"/>
      <c r="I34" s="1063"/>
      <c r="J34" s="1063"/>
      <c r="K34" s="1064"/>
      <c r="L34" s="1067"/>
      <c r="M34" s="1066"/>
      <c r="N34" s="1054" t="s">
        <v>20</v>
      </c>
    </row>
    <row r="35" spans="2:14" ht="66" x14ac:dyDescent="0.25">
      <c r="B35" s="613" t="s">
        <v>252</v>
      </c>
      <c r="C35" s="614" t="s">
        <v>663</v>
      </c>
      <c r="D35" s="615" t="s">
        <v>12</v>
      </c>
      <c r="E35" s="616" t="s">
        <v>13</v>
      </c>
      <c r="F35" s="614" t="s">
        <v>662</v>
      </c>
      <c r="G35" s="615" t="s">
        <v>12</v>
      </c>
      <c r="H35" s="616" t="s">
        <v>13</v>
      </c>
      <c r="I35" s="614" t="s">
        <v>661</v>
      </c>
      <c r="J35" s="615" t="s">
        <v>12</v>
      </c>
      <c r="K35" s="616" t="s">
        <v>13</v>
      </c>
      <c r="L35" s="614" t="s">
        <v>19</v>
      </c>
      <c r="M35" s="1067"/>
      <c r="N35" s="1055"/>
    </row>
    <row r="36" spans="2:14" x14ac:dyDescent="0.25">
      <c r="B36" s="446" t="str">
        <f>Empresas!A93</f>
        <v>ANDALUZA DE PAPELERIA (OFIPAPEL)</v>
      </c>
      <c r="C36" s="495">
        <v>20</v>
      </c>
      <c r="D36" s="439">
        <f>$G$10</f>
        <v>0.81967216814476385</v>
      </c>
      <c r="E36" s="490">
        <f>$C$45*$C$46/C36</f>
        <v>0.14754099026605749</v>
      </c>
      <c r="F36" s="495">
        <v>25</v>
      </c>
      <c r="G36" s="439">
        <f>$G$11</f>
        <v>0.81967216814476385</v>
      </c>
      <c r="H36" s="490">
        <f>$F$45*$F$46/F36</f>
        <v>0.29508198053211498</v>
      </c>
      <c r="I36" s="495">
        <v>20</v>
      </c>
      <c r="J36" s="439">
        <f>$G$12</f>
        <v>1.6393443362895277</v>
      </c>
      <c r="K36" s="490">
        <f>$I$45*$I$46/I36</f>
        <v>0.29508198053211498</v>
      </c>
      <c r="L36" s="496">
        <f>I20</f>
        <v>20.891803246722922</v>
      </c>
      <c r="M36" s="497">
        <f t="shared" ref="M36" si="6">E36+H36+K36+L36</f>
        <v>21.629508198053209</v>
      </c>
      <c r="N36" s="629">
        <f>RANK(M36,M$36:M$44,0)</f>
        <v>7</v>
      </c>
    </row>
    <row r="37" spans="2:14" x14ac:dyDescent="0.25">
      <c r="B37" s="446" t="str">
        <f>Empresas!A94</f>
        <v>CECILIO MÁRQUEZ</v>
      </c>
      <c r="C37" s="495">
        <f>24*5</f>
        <v>120</v>
      </c>
      <c r="D37" s="439">
        <f t="shared" ref="D37:D44" si="7">$G$10</f>
        <v>0.81967216814476385</v>
      </c>
      <c r="E37" s="490">
        <f t="shared" ref="E37:E44" si="8">$C$45*$C$46/C37</f>
        <v>2.4590165044342915E-2</v>
      </c>
      <c r="F37" s="495">
        <v>30</v>
      </c>
      <c r="G37" s="439">
        <f t="shared" ref="G37:G44" si="9">$G$11</f>
        <v>0.81967216814476385</v>
      </c>
      <c r="H37" s="490">
        <f t="shared" ref="H37:H44" si="10">$F$45*$F$46/F37</f>
        <v>0.24590165044342915</v>
      </c>
      <c r="I37" s="935" t="s">
        <v>394</v>
      </c>
      <c r="J37" s="439">
        <f t="shared" ref="J37:J44" si="11">$G$12</f>
        <v>1.6393443362895277</v>
      </c>
      <c r="K37" s="490"/>
      <c r="L37" s="496">
        <f t="shared" ref="L37:L44" si="12">I21</f>
        <v>39.849180266897427</v>
      </c>
      <c r="M37" s="497">
        <f t="shared" ref="M37:M44" si="13">E37+H37+K37+L37</f>
        <v>40.1196720823852</v>
      </c>
      <c r="N37" s="633">
        <f t="shared" ref="N37:N44" si="14">RANK(M37,M$36:M$44,0)</f>
        <v>2</v>
      </c>
    </row>
    <row r="38" spans="2:14" x14ac:dyDescent="0.25">
      <c r="B38" s="446" t="str">
        <f>Empresas!A95</f>
        <v>EL CORTE INGLÉS</v>
      </c>
      <c r="C38" s="495">
        <f>24*5</f>
        <v>120</v>
      </c>
      <c r="D38" s="439">
        <f t="shared" si="7"/>
        <v>0.81967216814476385</v>
      </c>
      <c r="E38" s="490">
        <f t="shared" si="8"/>
        <v>2.4590165044342915E-2</v>
      </c>
      <c r="F38" s="495">
        <v>30</v>
      </c>
      <c r="G38" s="439">
        <f t="shared" si="9"/>
        <v>0.81967216814476385</v>
      </c>
      <c r="H38" s="490">
        <f t="shared" si="10"/>
        <v>0.24590165044342915</v>
      </c>
      <c r="I38" s="495">
        <v>16</v>
      </c>
      <c r="J38" s="439">
        <f t="shared" si="11"/>
        <v>1.6393443362895277</v>
      </c>
      <c r="K38" s="490">
        <f t="shared" ref="K38:K44" si="15">$I$45*$I$46/I38</f>
        <v>0.36885247566514373</v>
      </c>
      <c r="L38" s="496">
        <f t="shared" si="12"/>
        <v>25.405464442002568</v>
      </c>
      <c r="M38" s="497">
        <f t="shared" si="13"/>
        <v>26.044808733155485</v>
      </c>
      <c r="N38" s="633">
        <f t="shared" si="14"/>
        <v>6</v>
      </c>
    </row>
    <row r="39" spans="2:14" x14ac:dyDescent="0.25">
      <c r="B39" s="446" t="str">
        <f>Empresas!A96</f>
        <v>GRUPO KAT</v>
      </c>
      <c r="C39" s="495">
        <f>7*24</f>
        <v>168</v>
      </c>
      <c r="D39" s="439">
        <f t="shared" si="7"/>
        <v>0.81967216814476385</v>
      </c>
      <c r="E39" s="490">
        <f t="shared" si="8"/>
        <v>1.7564403603102081E-2</v>
      </c>
      <c r="F39" s="495">
        <v>20</v>
      </c>
      <c r="G39" s="439">
        <f t="shared" si="9"/>
        <v>0.81967216814476385</v>
      </c>
      <c r="H39" s="490">
        <f t="shared" si="10"/>
        <v>0.36885247566514373</v>
      </c>
      <c r="I39" s="495">
        <v>48</v>
      </c>
      <c r="J39" s="439">
        <f t="shared" si="11"/>
        <v>1.6393443362895277</v>
      </c>
      <c r="K39" s="490">
        <f t="shared" si="15"/>
        <v>0.12295082522171458</v>
      </c>
      <c r="L39" s="496">
        <f t="shared" si="12"/>
        <v>8.2535518999399198</v>
      </c>
      <c r="M39" s="497">
        <f t="shared" si="13"/>
        <v>8.7629196044298805</v>
      </c>
      <c r="N39" s="633">
        <f t="shared" si="14"/>
        <v>9</v>
      </c>
    </row>
    <row r="40" spans="2:14" x14ac:dyDescent="0.25">
      <c r="B40" s="446" t="str">
        <f>Empresas!A97</f>
        <v>LABELLA S.L</v>
      </c>
      <c r="C40" s="495">
        <f>8*24</f>
        <v>192</v>
      </c>
      <c r="D40" s="439">
        <f t="shared" si="7"/>
        <v>0.81967216814476385</v>
      </c>
      <c r="E40" s="490">
        <f t="shared" si="8"/>
        <v>1.5368853152714322E-2</v>
      </c>
      <c r="F40" s="495">
        <v>45</v>
      </c>
      <c r="G40" s="439">
        <f t="shared" si="9"/>
        <v>0.81967216814476385</v>
      </c>
      <c r="H40" s="490">
        <f t="shared" si="10"/>
        <v>0.16393443362895277</v>
      </c>
      <c r="I40" s="495">
        <v>24</v>
      </c>
      <c r="J40" s="439">
        <f t="shared" si="11"/>
        <v>1.6393443362895277</v>
      </c>
      <c r="K40" s="490">
        <f t="shared" si="15"/>
        <v>0.24590165044342915</v>
      </c>
      <c r="L40" s="496">
        <f t="shared" si="12"/>
        <v>29.91912563728221</v>
      </c>
      <c r="M40" s="497">
        <f t="shared" si="13"/>
        <v>30.344330574507307</v>
      </c>
      <c r="N40" s="633">
        <f t="shared" si="14"/>
        <v>5</v>
      </c>
    </row>
    <row r="41" spans="2:14" x14ac:dyDescent="0.25">
      <c r="B41" s="446" t="str">
        <f>Empresas!A98</f>
        <v>MUEBLES TINAS</v>
      </c>
      <c r="C41" s="495">
        <v>10</v>
      </c>
      <c r="D41" s="439">
        <f t="shared" si="7"/>
        <v>0.81967216814476385</v>
      </c>
      <c r="E41" s="490">
        <f t="shared" si="8"/>
        <v>0.29508198053211498</v>
      </c>
      <c r="F41" s="495">
        <v>20</v>
      </c>
      <c r="G41" s="439">
        <f t="shared" si="9"/>
        <v>0.81967216814476385</v>
      </c>
      <c r="H41" s="490">
        <f t="shared" si="10"/>
        <v>0.36885247566514373</v>
      </c>
      <c r="I41" s="495">
        <v>16</v>
      </c>
      <c r="J41" s="439">
        <f t="shared" si="11"/>
        <v>1.6393443362895277</v>
      </c>
      <c r="K41" s="490">
        <f t="shared" si="15"/>
        <v>0.36885247566514373</v>
      </c>
      <c r="L41" s="496">
        <f t="shared" si="12"/>
        <v>36.238251310673704</v>
      </c>
      <c r="M41" s="497">
        <f t="shared" si="13"/>
        <v>37.271038242536108</v>
      </c>
      <c r="N41" s="633">
        <f t="shared" si="14"/>
        <v>3</v>
      </c>
    </row>
    <row r="42" spans="2:14" x14ac:dyDescent="0.25">
      <c r="B42" s="446" t="str">
        <f>Empresas!A99</f>
        <v>OFINET</v>
      </c>
      <c r="C42" s="495">
        <v>72</v>
      </c>
      <c r="D42" s="439">
        <f t="shared" si="7"/>
        <v>0.81967216814476385</v>
      </c>
      <c r="E42" s="490">
        <f t="shared" si="8"/>
        <v>4.0983608407238192E-2</v>
      </c>
      <c r="F42" s="495">
        <v>25</v>
      </c>
      <c r="G42" s="439">
        <f t="shared" si="9"/>
        <v>0.81967216814476385</v>
      </c>
      <c r="H42" s="490">
        <f t="shared" si="10"/>
        <v>0.29508198053211498</v>
      </c>
      <c r="I42" s="495">
        <v>72</v>
      </c>
      <c r="J42" s="439">
        <f t="shared" si="11"/>
        <v>1.6393443362895277</v>
      </c>
      <c r="K42" s="490">
        <f t="shared" si="15"/>
        <v>8.1967216814476385E-2</v>
      </c>
      <c r="L42" s="496">
        <f t="shared" si="12"/>
        <v>32.627322354449994</v>
      </c>
      <c r="M42" s="497">
        <f t="shared" si="13"/>
        <v>33.045355160203826</v>
      </c>
      <c r="N42" s="633">
        <f t="shared" si="14"/>
        <v>4</v>
      </c>
    </row>
    <row r="43" spans="2:14" x14ac:dyDescent="0.25">
      <c r="B43" s="446" t="str">
        <f>Empresas!A100</f>
        <v>PAPELERÍA COLÓN</v>
      </c>
      <c r="C43" s="495"/>
      <c r="D43" s="439">
        <f t="shared" si="7"/>
        <v>0.81967216814476385</v>
      </c>
      <c r="E43" s="490"/>
      <c r="F43" s="495"/>
      <c r="G43" s="439">
        <f t="shared" si="9"/>
        <v>0.81967216814476385</v>
      </c>
      <c r="H43" s="490"/>
      <c r="I43" s="495"/>
      <c r="J43" s="439">
        <f t="shared" si="11"/>
        <v>1.6393443362895277</v>
      </c>
      <c r="K43" s="490"/>
      <c r="L43" s="496">
        <f t="shared" si="12"/>
        <v>20.891803246722922</v>
      </c>
      <c r="M43" s="497">
        <f t="shared" si="13"/>
        <v>20.891803246722922</v>
      </c>
      <c r="N43" s="633">
        <f t="shared" si="14"/>
        <v>8</v>
      </c>
    </row>
    <row r="44" spans="2:14" x14ac:dyDescent="0.25">
      <c r="B44" s="446" t="str">
        <f>Empresas!A101</f>
        <v>TEXTIL HOGAR</v>
      </c>
      <c r="C44" s="495">
        <v>8</v>
      </c>
      <c r="D44" s="439">
        <f t="shared" si="7"/>
        <v>0.81967216814476385</v>
      </c>
      <c r="E44" s="490">
        <f t="shared" si="8"/>
        <v>0.36885247566514373</v>
      </c>
      <c r="F44" s="495">
        <v>40</v>
      </c>
      <c r="G44" s="439">
        <f t="shared" si="9"/>
        <v>0.81967216814476385</v>
      </c>
      <c r="H44" s="490">
        <f t="shared" si="10"/>
        <v>0.18442623783257187</v>
      </c>
      <c r="I44" s="495">
        <v>8</v>
      </c>
      <c r="J44" s="439">
        <f t="shared" si="11"/>
        <v>1.6393443362895277</v>
      </c>
      <c r="K44" s="490">
        <f t="shared" si="15"/>
        <v>0.73770495133028746</v>
      </c>
      <c r="L44" s="496">
        <f t="shared" si="12"/>
        <v>44.362841462177073</v>
      </c>
      <c r="M44" s="497">
        <f t="shared" si="13"/>
        <v>45.653825127005078</v>
      </c>
      <c r="N44" s="633">
        <f t="shared" si="14"/>
        <v>1</v>
      </c>
    </row>
    <row r="45" spans="2:14" x14ac:dyDescent="0.25">
      <c r="B45" s="925" t="s">
        <v>1128</v>
      </c>
      <c r="C45" s="448">
        <f>MIN(C36:C44)</f>
        <v>8</v>
      </c>
      <c r="D45" s="923"/>
      <c r="E45" s="924"/>
      <c r="F45" s="448">
        <f>MIN(F36:F44)</f>
        <v>20</v>
      </c>
      <c r="G45" s="923"/>
      <c r="H45" s="924"/>
      <c r="I45" s="448">
        <f>MIN(I36:I44)</f>
        <v>8</v>
      </c>
      <c r="J45" s="923"/>
      <c r="K45" s="924"/>
    </row>
    <row r="46" spans="2:14" x14ac:dyDescent="0.25">
      <c r="B46" s="13" t="s">
        <v>1127</v>
      </c>
      <c r="C46" s="1023">
        <f>G10*H5/100</f>
        <v>0.36885247566514373</v>
      </c>
      <c r="D46" s="1024"/>
      <c r="E46" s="1025"/>
      <c r="F46" s="1023">
        <f>G11*H5/100</f>
        <v>0.36885247566514373</v>
      </c>
      <c r="G46" s="1024"/>
      <c r="H46" s="1025"/>
      <c r="I46" s="1026">
        <f>G12*H5/100</f>
        <v>0.73770495133028746</v>
      </c>
      <c r="J46" s="1027"/>
      <c r="K46" s="1028"/>
    </row>
    <row r="52" spans="4:4" x14ac:dyDescent="0.25">
      <c r="D52" t="s">
        <v>690</v>
      </c>
    </row>
  </sheetData>
  <mergeCells count="7">
    <mergeCell ref="N34:N35"/>
    <mergeCell ref="C32:K34"/>
    <mergeCell ref="L32:L34"/>
    <mergeCell ref="M32:M35"/>
    <mergeCell ref="C46:E46"/>
    <mergeCell ref="F46:H46"/>
    <mergeCell ref="I46:K46"/>
  </mergeCells>
  <conditionalFormatting sqref="N36:N44">
    <cfRule type="cellIs" dxfId="4" priority="3" operator="equal">
      <formula>1</formula>
    </cfRule>
  </conditionalFormatting>
  <conditionalFormatting sqref="M36:N44">
    <cfRule type="cellIs" dxfId="3" priority="2" operator="greaterThan">
      <formula>30</formula>
    </cfRule>
  </conditionalFormatting>
  <conditionalFormatting sqref="N44">
    <cfRule type="cellIs" dxfId="2" priority="1" operator="equal">
      <formula>1</formula>
    </cfRule>
  </conditionalFormatting>
  <pageMargins left="0.74803149606299213" right="0.35433070866141736" top="0.31496062992125984" bottom="0.31496062992125984" header="0" footer="0"/>
  <pageSetup paperSize="9" scale="61" orientation="landscape" r:id="rId1"/>
  <headerFooter alignWithMargins="0"/>
  <rowBreaks count="1" manualBreakCount="1">
    <brk id="1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zoomScaleNormal="100" zoomScaleSheetLayoutView="75" workbookViewId="0">
      <pane xSplit="3" ySplit="2" topLeftCell="D36" activePane="bottomRight" state="frozen"/>
      <selection pane="topRight" activeCell="D1" sqref="D1"/>
      <selection pane="bottomLeft" activeCell="A3" sqref="A3"/>
      <selection pane="bottomRight" activeCell="A67" sqref="A67:XFD76"/>
    </sheetView>
  </sheetViews>
  <sheetFormatPr baseColWidth="10" defaultRowHeight="13.2" x14ac:dyDescent="0.25"/>
  <cols>
    <col min="1" max="1" width="55.44140625" bestFit="1" customWidth="1"/>
    <col min="2" max="2" width="47.33203125" bestFit="1" customWidth="1"/>
    <col min="3" max="3" width="4" bestFit="1" customWidth="1"/>
    <col min="4" max="4" width="8.44140625" style="27" customWidth="1"/>
    <col min="5" max="5" width="6.44140625" customWidth="1"/>
    <col min="6" max="6" width="10.33203125" customWidth="1"/>
    <col min="7" max="7" width="5.6640625" customWidth="1"/>
    <col min="8" max="8" width="9.33203125" bestFit="1" customWidth="1"/>
    <col min="9" max="11" width="5.6640625" customWidth="1"/>
    <col min="12" max="12" width="8.88671875" bestFit="1" customWidth="1"/>
    <col min="13" max="13" width="5.6640625" customWidth="1"/>
    <col min="14" max="14" width="8.88671875" bestFit="1" customWidth="1"/>
    <col min="15" max="15" width="7.33203125" bestFit="1" customWidth="1"/>
    <col min="16" max="16" width="8.88671875" bestFit="1" customWidth="1"/>
    <col min="17" max="19" width="5.6640625" customWidth="1"/>
    <col min="20" max="20" width="8.6640625" bestFit="1" customWidth="1"/>
    <col min="21" max="21" width="7.109375" customWidth="1"/>
    <col min="22" max="22" width="4.88671875" customWidth="1"/>
    <col min="23" max="24" width="11.44140625" style="101"/>
  </cols>
  <sheetData>
    <row r="1" spans="1:26" x14ac:dyDescent="0.25">
      <c r="A1" t="str">
        <f>Empresas!A89</f>
        <v>LOTE 6: CORTINAJE</v>
      </c>
    </row>
    <row r="2" spans="1:26" ht="64.5" customHeight="1" x14ac:dyDescent="0.25">
      <c r="D2" s="1114" t="str">
        <f>Empresas!A$93</f>
        <v>ANDALUZA DE PAPELERIA (OFIPAPEL)</v>
      </c>
      <c r="E2" s="1115"/>
      <c r="F2" s="1114" t="str">
        <f>Empresas!A$94</f>
        <v>CECILIO MÁRQUEZ</v>
      </c>
      <c r="G2" s="1115"/>
      <c r="H2" s="1114" t="str">
        <f>Empresas!A$95</f>
        <v>EL CORTE INGLÉS</v>
      </c>
      <c r="I2" s="1115"/>
      <c r="J2" s="1114" t="str">
        <f>Empresas!$A$96</f>
        <v>GRUPO KAT</v>
      </c>
      <c r="K2" s="1115"/>
      <c r="L2" s="1114" t="str">
        <f>Empresas!$A$97</f>
        <v>LABELLA S.L</v>
      </c>
      <c r="M2" s="1115"/>
      <c r="N2" s="1114" t="str">
        <f>Empresas!$A$98</f>
        <v>MUEBLES TINAS</v>
      </c>
      <c r="O2" s="1115"/>
      <c r="P2" s="1114" t="str">
        <f>Empresas!$A$99</f>
        <v>OFINET</v>
      </c>
      <c r="Q2" s="1115"/>
      <c r="R2" s="1114" t="str">
        <f>Empresas!$A$100</f>
        <v>PAPELERÍA COLÓN</v>
      </c>
      <c r="S2" s="1115"/>
      <c r="T2" s="1114" t="str">
        <f>Empresas!$A$101</f>
        <v>TEXTIL HOGAR</v>
      </c>
      <c r="U2" s="1115"/>
    </row>
    <row r="3" spans="1:26" ht="29.25" customHeight="1" x14ac:dyDescent="0.25">
      <c r="A3" s="635" t="str">
        <f>'Lote 6'!B8</f>
        <v>CORTINAJE EDIFICIO DE GOBIERNO</v>
      </c>
      <c r="B3" s="636" t="s">
        <v>353</v>
      </c>
      <c r="C3" s="635"/>
      <c r="D3" s="1122" t="s">
        <v>1086</v>
      </c>
      <c r="E3" s="1087"/>
      <c r="F3" s="1122" t="s">
        <v>1057</v>
      </c>
      <c r="G3" s="1126"/>
      <c r="H3" s="1122" t="s">
        <v>350</v>
      </c>
      <c r="I3" s="1126"/>
      <c r="J3" s="1122"/>
      <c r="K3" s="1087"/>
      <c r="L3" s="1122" t="s">
        <v>349</v>
      </c>
      <c r="M3" s="1087"/>
      <c r="N3" s="1122" t="s">
        <v>1087</v>
      </c>
      <c r="O3" s="1087"/>
      <c r="P3" s="1122"/>
      <c r="Q3" s="1087"/>
      <c r="R3" s="1122" t="s">
        <v>1086</v>
      </c>
      <c r="S3" s="1087"/>
      <c r="T3" s="1122"/>
      <c r="U3" s="1087"/>
    </row>
    <row r="4" spans="1:26" x14ac:dyDescent="0.25">
      <c r="A4" s="203" t="s">
        <v>335</v>
      </c>
      <c r="B4" s="201" t="s">
        <v>344</v>
      </c>
      <c r="C4" s="115">
        <f>A5</f>
        <v>4</v>
      </c>
      <c r="D4" s="1123">
        <v>350</v>
      </c>
      <c r="E4" s="976">
        <f>IF(D4&gt;340,$C4,IF(D4&gt;339.9,$C5,IF(D4&gt;0,$C6,IF(D4=0,"0"))))</f>
        <v>4</v>
      </c>
      <c r="F4" s="1123">
        <v>350</v>
      </c>
      <c r="G4" s="976">
        <f>IF(F4&gt;340,$C4,IF(F4&gt;339.9,$C5,IF(F4&gt;0,$C6,IF(F4=0,"0"))))</f>
        <v>4</v>
      </c>
      <c r="H4" s="1123">
        <v>360</v>
      </c>
      <c r="I4" s="976">
        <f>IF(H4&gt;340,$C4,IF(H4&gt;339.9,$C5,IF(H4&gt;0,$C6,IF(H4=0,"0"))))</f>
        <v>4</v>
      </c>
      <c r="J4" s="1123">
        <v>0</v>
      </c>
      <c r="K4" s="976" t="str">
        <f>IF(J4&gt;340,$C4,IF(J4&gt;339.9,$C5,IF(J4&gt;0,$C6,IF(J4=0,"0"))))</f>
        <v>0</v>
      </c>
      <c r="L4" s="1123">
        <v>350</v>
      </c>
      <c r="M4" s="976">
        <f>IF(L4&gt;340,$C4,IF(L4&gt;339.9,$C5,IF(L4&gt;0,$C6,IF(L4=0,"0"))))</f>
        <v>4</v>
      </c>
      <c r="N4" s="1123">
        <v>340</v>
      </c>
      <c r="O4" s="976">
        <f>IF(N4&gt;340,$C4,IF(N4&gt;339.9,$C5,IF(N4&gt;0,$C6,IF(N4=0,"0"))))</f>
        <v>1</v>
      </c>
      <c r="P4" s="1123">
        <v>340</v>
      </c>
      <c r="Q4" s="976">
        <f>IF(P4&gt;340,$C4,IF(P4&gt;339.9,$C5,IF(P4&gt;0,$C6,IF(P4=0,"0"))))</f>
        <v>1</v>
      </c>
      <c r="R4" s="1123">
        <v>350</v>
      </c>
      <c r="S4" s="976">
        <f>IF(R4&gt;340,$C4,IF(R4&gt;339.9,$C5,IF(R4&gt;0,$C6,IF(R4=0,"0"))))</f>
        <v>4</v>
      </c>
      <c r="T4" s="1123">
        <v>416</v>
      </c>
      <c r="U4" s="976">
        <f>IF(T4&gt;340,$C4,IF(T4&gt;339.9,$C5,IF(T4&gt;0,$C6,IF(T4=0,"0"))))</f>
        <v>4</v>
      </c>
    </row>
    <row r="5" spans="1:26" x14ac:dyDescent="0.25">
      <c r="A5" s="178">
        <v>4</v>
      </c>
      <c r="B5" s="201" t="s">
        <v>343</v>
      </c>
      <c r="C5" s="115">
        <v>1</v>
      </c>
      <c r="D5" s="1124"/>
      <c r="E5" s="977"/>
      <c r="F5" s="1124"/>
      <c r="G5" s="977"/>
      <c r="H5" s="1124"/>
      <c r="I5" s="977"/>
      <c r="J5" s="1124"/>
      <c r="K5" s="977"/>
      <c r="L5" s="1124"/>
      <c r="M5" s="977"/>
      <c r="N5" s="1124"/>
      <c r="O5" s="977"/>
      <c r="P5" s="1124"/>
      <c r="Q5" s="977"/>
      <c r="R5" s="1124"/>
      <c r="S5" s="977"/>
      <c r="T5" s="1124"/>
      <c r="U5" s="977"/>
      <c r="Z5" s="131"/>
    </row>
    <row r="6" spans="1:26" x14ac:dyDescent="0.25">
      <c r="A6" s="179"/>
      <c r="B6" s="201" t="s">
        <v>347</v>
      </c>
      <c r="C6" s="115">
        <v>0</v>
      </c>
      <c r="D6" s="1125"/>
      <c r="E6" s="978"/>
      <c r="F6" s="1125"/>
      <c r="G6" s="978"/>
      <c r="H6" s="1125"/>
      <c r="I6" s="978"/>
      <c r="J6" s="1125"/>
      <c r="K6" s="978"/>
      <c r="L6" s="1125"/>
      <c r="M6" s="978"/>
      <c r="N6" s="1125"/>
      <c r="O6" s="978"/>
      <c r="P6" s="1125"/>
      <c r="Q6" s="978"/>
      <c r="R6" s="1125"/>
      <c r="S6" s="978"/>
      <c r="T6" s="1125"/>
      <c r="U6" s="978"/>
      <c r="Z6" s="131"/>
    </row>
    <row r="7" spans="1:26" x14ac:dyDescent="0.25">
      <c r="A7" s="204" t="s">
        <v>337</v>
      </c>
      <c r="B7" s="193" t="s">
        <v>342</v>
      </c>
      <c r="C7" s="13">
        <f>A9</f>
        <v>4</v>
      </c>
      <c r="D7" s="1107">
        <v>190</v>
      </c>
      <c r="E7" s="979">
        <f>IF(D7&gt;300,$C7,IF(D7&gt;179.9,$C8,IF(D7&gt;0,$C9,IF(D7=0,"0"))))</f>
        <v>1</v>
      </c>
      <c r="F7" s="1107">
        <v>190</v>
      </c>
      <c r="G7" s="979">
        <f>IF(F7&gt;300,$C7,IF(F7&gt;179.9,$C8,IF(F7&gt;0,$C9,IF(F7=0,"0"))))</f>
        <v>1</v>
      </c>
      <c r="H7" s="1107"/>
      <c r="I7" s="979" t="str">
        <f>IF(H7&gt;300,$C7,IF(H7&gt;179.9,$C8,IF(H7&gt;0,$C9,IF(H7=0,"0"))))</f>
        <v>0</v>
      </c>
      <c r="J7" s="1107">
        <v>0</v>
      </c>
      <c r="K7" s="979" t="str">
        <f>IF(J7&gt;300,$C7,IF(J7&gt;179.9,$C8,IF(J7&gt;0,$C9,IF(J7=0,"0"))))</f>
        <v>0</v>
      </c>
      <c r="L7" s="1107">
        <v>100</v>
      </c>
      <c r="M7" s="979">
        <f>IF(L7&gt;300,$C7,IF(L7&gt;179.9,$C8,IF(L7&gt;0,$C9,IF(L7=0,"0"))))</f>
        <v>0</v>
      </c>
      <c r="N7" s="1107">
        <v>190</v>
      </c>
      <c r="O7" s="979">
        <f>IF(N7&gt;300,$C7,IF(N7&gt;179.9,$C8,IF(N7&gt;0,$C9,IF(N7=0,"0"))))</f>
        <v>1</v>
      </c>
      <c r="P7" s="1107">
        <v>190</v>
      </c>
      <c r="Q7" s="979">
        <f>IF(P7&gt;300,$C7,IF(P7&gt;179.9,$C8,IF(P7&gt;0,$C9,IF(P7=0,"0"))))</f>
        <v>1</v>
      </c>
      <c r="R7" s="1107">
        <v>190</v>
      </c>
      <c r="S7" s="979">
        <f>IF(R7&gt;300,$C7,IF(R7&gt;179.9,$C8,IF(R7&gt;0,$C9,IF(R7=0,"0"))))</f>
        <v>1</v>
      </c>
      <c r="T7" s="1107">
        <v>483</v>
      </c>
      <c r="U7" s="979">
        <f>IF(T7&gt;300,$C7,IF(T7&gt;179.9,$C8,IF(T7&gt;0,$C9,IF(T7=0,"0"))))</f>
        <v>4</v>
      </c>
      <c r="Z7" s="131"/>
    </row>
    <row r="8" spans="1:26" x14ac:dyDescent="0.25">
      <c r="A8" s="646" t="s">
        <v>338</v>
      </c>
      <c r="B8" s="193" t="s">
        <v>341</v>
      </c>
      <c r="C8" s="110">
        <v>1</v>
      </c>
      <c r="D8" s="1113"/>
      <c r="E8" s="980"/>
      <c r="F8" s="1113"/>
      <c r="G8" s="980"/>
      <c r="H8" s="1113"/>
      <c r="I8" s="980"/>
      <c r="J8" s="1113"/>
      <c r="K8" s="980"/>
      <c r="L8" s="1113"/>
      <c r="M8" s="980"/>
      <c r="N8" s="1113"/>
      <c r="O8" s="980"/>
      <c r="P8" s="1113"/>
      <c r="Q8" s="980"/>
      <c r="R8" s="1113"/>
      <c r="S8" s="980"/>
      <c r="T8" s="1113"/>
      <c r="U8" s="980"/>
      <c r="Z8" s="131"/>
    </row>
    <row r="9" spans="1:26" x14ac:dyDescent="0.25">
      <c r="A9" s="632">
        <v>4</v>
      </c>
      <c r="B9" s="193" t="s">
        <v>348</v>
      </c>
      <c r="C9" s="110">
        <v>0</v>
      </c>
      <c r="D9" s="1108"/>
      <c r="E9" s="981"/>
      <c r="F9" s="1108"/>
      <c r="G9" s="981"/>
      <c r="H9" s="1108"/>
      <c r="I9" s="981"/>
      <c r="J9" s="1108"/>
      <c r="K9" s="981"/>
      <c r="L9" s="1108"/>
      <c r="M9" s="981"/>
      <c r="N9" s="1108"/>
      <c r="O9" s="981"/>
      <c r="P9" s="1108"/>
      <c r="Q9" s="981"/>
      <c r="R9" s="1108"/>
      <c r="S9" s="981"/>
      <c r="T9" s="1108"/>
      <c r="U9" s="981"/>
      <c r="Z9" s="131"/>
    </row>
    <row r="10" spans="1:26" x14ac:dyDescent="0.25">
      <c r="A10" s="652" t="s">
        <v>1054</v>
      </c>
      <c r="B10" s="653" t="s">
        <v>140</v>
      </c>
      <c r="C10" s="511">
        <f>A11</f>
        <v>3</v>
      </c>
      <c r="D10" s="1105" t="s">
        <v>1059</v>
      </c>
      <c r="E10" s="1078">
        <f>IF(D10="M",$C10,IF(D10="P",$C11,))</f>
        <v>2</v>
      </c>
      <c r="F10" s="1105" t="s">
        <v>1056</v>
      </c>
      <c r="G10" s="1078">
        <f>IF(F10="M",$C10,IF(F10="P",$C11,))</f>
        <v>3</v>
      </c>
      <c r="H10" s="1105" t="s">
        <v>1056</v>
      </c>
      <c r="I10" s="1078">
        <f>IF(H10="M",$C10,IF(H10="P",$C11,))</f>
        <v>3</v>
      </c>
      <c r="J10" s="1105"/>
      <c r="K10" s="1078">
        <f>IF(J10="M",$C10,IF(J10="P",$C11,))</f>
        <v>0</v>
      </c>
      <c r="L10" s="1105" t="s">
        <v>1056</v>
      </c>
      <c r="M10" s="1078">
        <f>IF(L10="M",$C10,IF(L10="P",$C11,))</f>
        <v>3</v>
      </c>
      <c r="N10" s="1105" t="s">
        <v>1059</v>
      </c>
      <c r="O10" s="1078">
        <f>IF(N10="M",$C10,IF(N10="P",$C11,))</f>
        <v>2</v>
      </c>
      <c r="P10" s="1105" t="s">
        <v>1059</v>
      </c>
      <c r="Q10" s="1078">
        <f>IF(P10="M",$C10,IF(P10="P",$C11,))</f>
        <v>2</v>
      </c>
      <c r="R10" s="1105" t="s">
        <v>1059</v>
      </c>
      <c r="S10" s="1078">
        <f>IF(R10="M",$C10,IF(R10="P",$C11,))</f>
        <v>2</v>
      </c>
      <c r="T10" s="1105" t="s">
        <v>1056</v>
      </c>
      <c r="U10" s="1078">
        <f>IF(T10="M",$C10,IF(T10="P",$C11,))</f>
        <v>3</v>
      </c>
      <c r="Z10" s="131"/>
    </row>
    <row r="11" spans="1:26" x14ac:dyDescent="0.25">
      <c r="A11" s="654">
        <v>3</v>
      </c>
      <c r="B11" s="653" t="s">
        <v>1053</v>
      </c>
      <c r="C11" s="511">
        <v>2</v>
      </c>
      <c r="D11" s="1106"/>
      <c r="E11" s="1078"/>
      <c r="F11" s="1106"/>
      <c r="G11" s="1078"/>
      <c r="H11" s="1106"/>
      <c r="I11" s="1078"/>
      <c r="J11" s="1106"/>
      <c r="K11" s="1078"/>
      <c r="L11" s="1106"/>
      <c r="M11" s="1078"/>
      <c r="N11" s="1106"/>
      <c r="O11" s="1078"/>
      <c r="P11" s="1106"/>
      <c r="Q11" s="1078"/>
      <c r="R11" s="1106"/>
      <c r="S11" s="1078"/>
      <c r="T11" s="1106"/>
      <c r="U11" s="1078"/>
      <c r="Z11" s="131"/>
    </row>
    <row r="12" spans="1:26" x14ac:dyDescent="0.25">
      <c r="A12" s="650" t="s">
        <v>1052</v>
      </c>
      <c r="B12" s="649" t="s">
        <v>140</v>
      </c>
      <c r="C12" s="13">
        <f>A13</f>
        <v>3</v>
      </c>
      <c r="D12" s="1107" t="s">
        <v>1056</v>
      </c>
      <c r="E12" s="1047">
        <f>IF(D12="M",$C12,IF(D12="P",$C13,))</f>
        <v>3</v>
      </c>
      <c r="F12" s="1107" t="s">
        <v>1056</v>
      </c>
      <c r="G12" s="1047">
        <f>IF(F12="M",$C12,IF(F12="P",$C13,))</f>
        <v>3</v>
      </c>
      <c r="H12" s="1107" t="s">
        <v>1056</v>
      </c>
      <c r="I12" s="1047">
        <f>IF(H12="M",$C12,IF(H12="P",$C13,))</f>
        <v>3</v>
      </c>
      <c r="J12" s="1107"/>
      <c r="K12" s="1047">
        <f>IF(J12="M",$C12,IF(J12="P",$C13,))</f>
        <v>0</v>
      </c>
      <c r="L12" s="1107" t="s">
        <v>1056</v>
      </c>
      <c r="M12" s="1047">
        <f>IF(L12="M",$C12,IF(L12="P",$C13,))</f>
        <v>3</v>
      </c>
      <c r="N12" s="1107" t="s">
        <v>1056</v>
      </c>
      <c r="O12" s="1047">
        <f>IF(N12="M",$C12,IF(N12="P",$C13,))</f>
        <v>3</v>
      </c>
      <c r="P12" s="1107" t="s">
        <v>1056</v>
      </c>
      <c r="Q12" s="1047">
        <f>IF(P12="M",$C12,IF(P12="P",$C13,))</f>
        <v>3</v>
      </c>
      <c r="R12" s="1107" t="s">
        <v>1056</v>
      </c>
      <c r="S12" s="1047">
        <f>IF(R12="M",$C12,IF(R12="P",$C13,))</f>
        <v>3</v>
      </c>
      <c r="T12" s="1107" t="s">
        <v>1056</v>
      </c>
      <c r="U12" s="1047">
        <f>IF(T12="M",$C12,IF(T12="P",$C13,))</f>
        <v>3</v>
      </c>
      <c r="Z12" s="131"/>
    </row>
    <row r="13" spans="1:26" x14ac:dyDescent="0.25">
      <c r="A13" s="651">
        <v>3</v>
      </c>
      <c r="B13" s="649" t="s">
        <v>1053</v>
      </c>
      <c r="C13" s="512">
        <v>1</v>
      </c>
      <c r="D13" s="1108"/>
      <c r="E13" s="1047"/>
      <c r="F13" s="1108"/>
      <c r="G13" s="1047"/>
      <c r="H13" s="1108"/>
      <c r="I13" s="1047"/>
      <c r="J13" s="1108"/>
      <c r="K13" s="1047"/>
      <c r="L13" s="1108"/>
      <c r="M13" s="1047"/>
      <c r="N13" s="1108"/>
      <c r="O13" s="1047"/>
      <c r="P13" s="1108"/>
      <c r="Q13" s="1047"/>
      <c r="R13" s="1108"/>
      <c r="S13" s="1047"/>
      <c r="T13" s="1108"/>
      <c r="U13" s="1047"/>
      <c r="Z13" s="131"/>
    </row>
    <row r="14" spans="1:26" x14ac:dyDescent="0.25">
      <c r="A14" s="652" t="s">
        <v>1055</v>
      </c>
      <c r="B14" s="653" t="s">
        <v>140</v>
      </c>
      <c r="C14" s="511">
        <f>A15</f>
        <v>4</v>
      </c>
      <c r="D14" s="1105" t="s">
        <v>1056</v>
      </c>
      <c r="E14" s="1078">
        <f>IF(D14="M",$C14,IF(D14="P",$C15,))</f>
        <v>4</v>
      </c>
      <c r="F14" s="1105" t="s">
        <v>1056</v>
      </c>
      <c r="G14" s="1078">
        <f>IF(F14="M",$C14,IF(F14="P",$C15,))</f>
        <v>4</v>
      </c>
      <c r="H14" s="1105" t="s">
        <v>1056</v>
      </c>
      <c r="I14" s="1078">
        <f>IF(H14="M",$C14,IF(H14="P",$C15,))</f>
        <v>4</v>
      </c>
      <c r="J14" s="1105"/>
      <c r="K14" s="1078">
        <f>IF(J14="M",$C14,IF(J14="P",$C15,))</f>
        <v>0</v>
      </c>
      <c r="L14" s="1105" t="s">
        <v>1056</v>
      </c>
      <c r="M14" s="1078">
        <f>IF(L14="M",$C14,IF(L14="P",$C15,))</f>
        <v>4</v>
      </c>
      <c r="N14" s="1105" t="s">
        <v>1059</v>
      </c>
      <c r="O14" s="1078">
        <f>IF(N14="M",$C14,IF(N14="P",$C15,))</f>
        <v>1</v>
      </c>
      <c r="P14" s="1105" t="s">
        <v>1059</v>
      </c>
      <c r="Q14" s="1078">
        <f>IF(P14="M",$C14,IF(P14="P",$C15,))</f>
        <v>1</v>
      </c>
      <c r="R14" s="1105" t="s">
        <v>1056</v>
      </c>
      <c r="S14" s="1078">
        <f>IF(R14="M",$C14,IF(R14="P",$C15,))</f>
        <v>4</v>
      </c>
      <c r="T14" s="1105" t="s">
        <v>1059</v>
      </c>
      <c r="U14" s="1078">
        <f>IF(T14="M",$C14,IF(T14="P",$C15,))</f>
        <v>1</v>
      </c>
      <c r="Z14" s="131"/>
    </row>
    <row r="15" spans="1:26" x14ac:dyDescent="0.25">
      <c r="A15" s="654">
        <v>4</v>
      </c>
      <c r="B15" s="653" t="s">
        <v>1053</v>
      </c>
      <c r="C15" s="511">
        <v>1</v>
      </c>
      <c r="D15" s="1106"/>
      <c r="E15" s="1078"/>
      <c r="F15" s="1106"/>
      <c r="G15" s="1078"/>
      <c r="H15" s="1106"/>
      <c r="I15" s="1078"/>
      <c r="J15" s="1106"/>
      <c r="K15" s="1078"/>
      <c r="L15" s="1106"/>
      <c r="M15" s="1078"/>
      <c r="N15" s="1106"/>
      <c r="O15" s="1078"/>
      <c r="P15" s="1106"/>
      <c r="Q15" s="1078"/>
      <c r="R15" s="1106"/>
      <c r="S15" s="1078"/>
      <c r="T15" s="1106"/>
      <c r="U15" s="1078"/>
      <c r="Z15" s="131"/>
    </row>
    <row r="16" spans="1:26" x14ac:dyDescent="0.25">
      <c r="A16" s="202" t="s">
        <v>339</v>
      </c>
      <c r="B16" s="645" t="s">
        <v>351</v>
      </c>
      <c r="C16" s="13">
        <f>A18</f>
        <v>4</v>
      </c>
      <c r="D16" s="661"/>
      <c r="E16" s="979">
        <f>IF(D16="s",$C16,IF(D17="s",$C17,IF(D18="s",$C18,IF(D16=0,"0"))))</f>
        <v>2</v>
      </c>
      <c r="F16" s="634"/>
      <c r="G16" s="979">
        <f>IF(F16="s",$C16,IF(F17="s",$C17,IF(F18="s",$C18,IF(F16=0,"0"))))</f>
        <v>2</v>
      </c>
      <c r="H16" s="634"/>
      <c r="I16" s="979">
        <f>IF(H16="s",$C16,IF(H17="s",$C17,IF(H18="s",$C18,IF(H16=0,"0"))))</f>
        <v>2</v>
      </c>
      <c r="J16" s="634"/>
      <c r="K16" s="979">
        <f>IF(J16="s",$C16,IF(J17="s",$C17,IF(J18="s",$C18,IF(J16=0,"0"))))</f>
        <v>2</v>
      </c>
      <c r="L16" s="187" t="s">
        <v>108</v>
      </c>
      <c r="M16" s="979">
        <f>IF(L16="s",$C16,IF(L17="s",$C17,IF(L18="s",$C18,IF(L16=0,"0"))))</f>
        <v>4</v>
      </c>
      <c r="N16" s="634"/>
      <c r="O16" s="979">
        <f>IF(N16="s",$C16,IF(N17="s",$C17,IF(N18="s",$C18,IF(N16=0,"0"))))</f>
        <v>2</v>
      </c>
      <c r="P16" s="634"/>
      <c r="Q16" s="979">
        <f>IF(P16="s",$C16,IF(P17="s",$C17,IF(P18="s",$C18,IF(P16=0,"0"))))</f>
        <v>2</v>
      </c>
      <c r="R16" s="634"/>
      <c r="S16" s="979">
        <f>IF(R16="s",$C16,IF(R17="s",$C17,IF(R18="s",$C18,IF(R16=0,"0"))))</f>
        <v>2</v>
      </c>
      <c r="T16" s="634" t="s">
        <v>108</v>
      </c>
      <c r="U16" s="979">
        <f>IF(T16="s",$C16,IF(T17="s",$C17,IF(T18="s",$C18,IF(T16=0,"0"))))</f>
        <v>4</v>
      </c>
      <c r="Z16" s="131"/>
    </row>
    <row r="17" spans="1:26" x14ac:dyDescent="0.25">
      <c r="A17" s="646" t="s">
        <v>340</v>
      </c>
      <c r="B17" s="206" t="s">
        <v>352</v>
      </c>
      <c r="C17" s="13">
        <v>2</v>
      </c>
      <c r="D17" s="187" t="s">
        <v>108</v>
      </c>
      <c r="E17" s="980"/>
      <c r="F17" s="187" t="s">
        <v>108</v>
      </c>
      <c r="G17" s="980"/>
      <c r="H17" s="187" t="s">
        <v>108</v>
      </c>
      <c r="I17" s="980"/>
      <c r="J17" s="187" t="s">
        <v>108</v>
      </c>
      <c r="K17" s="980"/>
      <c r="L17" s="634"/>
      <c r="M17" s="980"/>
      <c r="N17" s="640" t="s">
        <v>108</v>
      </c>
      <c r="O17" s="980"/>
      <c r="P17" s="187" t="s">
        <v>108</v>
      </c>
      <c r="Q17" s="980"/>
      <c r="R17" s="187" t="s">
        <v>108</v>
      </c>
      <c r="S17" s="980"/>
      <c r="T17" s="634"/>
      <c r="U17" s="980"/>
      <c r="Z17" s="131"/>
    </row>
    <row r="18" spans="1:26" x14ac:dyDescent="0.25">
      <c r="A18" s="647">
        <v>4</v>
      </c>
      <c r="B18" s="648" t="s">
        <v>93</v>
      </c>
      <c r="C18" s="13">
        <v>0</v>
      </c>
      <c r="D18" s="187" t="s">
        <v>1080</v>
      </c>
      <c r="E18" s="981"/>
      <c r="F18" s="634"/>
      <c r="G18" s="981"/>
      <c r="H18" s="634"/>
      <c r="I18" s="981"/>
      <c r="J18" s="634"/>
      <c r="K18" s="981"/>
      <c r="L18" s="634"/>
      <c r="M18" s="981"/>
      <c r="N18" s="634"/>
      <c r="O18" s="981"/>
      <c r="P18" s="634"/>
      <c r="Q18" s="981"/>
      <c r="R18" s="634"/>
      <c r="S18" s="981"/>
      <c r="T18" s="634"/>
      <c r="U18" s="981"/>
      <c r="Z18" s="131"/>
    </row>
    <row r="19" spans="1:26" x14ac:dyDescent="0.25">
      <c r="A19" s="238" t="s">
        <v>15</v>
      </c>
      <c r="B19" s="207" t="s">
        <v>1082</v>
      </c>
      <c r="C19" s="511">
        <v>4</v>
      </c>
      <c r="D19" s="655"/>
      <c r="E19" s="623">
        <f>IF(D19="S",$C19,)</f>
        <v>0</v>
      </c>
      <c r="F19" s="655" t="s">
        <v>108</v>
      </c>
      <c r="G19" s="623">
        <f>IF(F19="S",$C19,)</f>
        <v>4</v>
      </c>
      <c r="H19" s="655" t="s">
        <v>108</v>
      </c>
      <c r="I19" s="623">
        <f>IF(H19="S",$C19,)</f>
        <v>4</v>
      </c>
      <c r="J19" s="655"/>
      <c r="K19" s="623">
        <f>IF(J19="S",$C19,)</f>
        <v>0</v>
      </c>
      <c r="L19" s="655" t="s">
        <v>108</v>
      </c>
      <c r="M19" s="623">
        <f>IF(L19="S",$C19,)</f>
        <v>4</v>
      </c>
      <c r="N19" s="655" t="s">
        <v>108</v>
      </c>
      <c r="O19" s="623">
        <f>IF(N19="S",$C19,)</f>
        <v>4</v>
      </c>
      <c r="P19" s="655"/>
      <c r="Q19" s="623">
        <f>IF(P19="S",$C19,)</f>
        <v>0</v>
      </c>
      <c r="R19" s="655"/>
      <c r="S19" s="623">
        <f>IF(R19="S",$C19,)</f>
        <v>0</v>
      </c>
      <c r="T19" s="655" t="s">
        <v>108</v>
      </c>
      <c r="U19" s="623">
        <f>IF(T19="S",$C19,)</f>
        <v>4</v>
      </c>
      <c r="Z19" s="131"/>
    </row>
    <row r="20" spans="1:26" x14ac:dyDescent="0.25">
      <c r="A20" s="247">
        <v>4</v>
      </c>
      <c r="B20" s="207" t="s">
        <v>1083</v>
      </c>
      <c r="C20" s="511">
        <v>2</v>
      </c>
      <c r="D20" s="655"/>
      <c r="E20" s="623">
        <f>IF(D20="S",$C20,)</f>
        <v>0</v>
      </c>
      <c r="F20" s="655"/>
      <c r="G20" s="623">
        <f>IF(F20="S",$C20,)</f>
        <v>0</v>
      </c>
      <c r="H20" s="655"/>
      <c r="I20" s="623">
        <f>IF(H20="S",$C20,)</f>
        <v>0</v>
      </c>
      <c r="J20" s="655"/>
      <c r="K20" s="623">
        <f>IF(J20="S",$C20,)</f>
        <v>0</v>
      </c>
      <c r="L20" s="655" t="s">
        <v>108</v>
      </c>
      <c r="M20" s="623">
        <f>IF(L20="S",$C20,)</f>
        <v>2</v>
      </c>
      <c r="N20" s="655" t="s">
        <v>108</v>
      </c>
      <c r="O20" s="623">
        <f>IF(N20="S",$C20,)</f>
        <v>2</v>
      </c>
      <c r="P20" s="655" t="s">
        <v>108</v>
      </c>
      <c r="Q20" s="623">
        <f>IF(P20="S",$C20,)</f>
        <v>2</v>
      </c>
      <c r="R20" s="655"/>
      <c r="S20" s="623">
        <f>IF(R20="S",$C20,)</f>
        <v>0</v>
      </c>
      <c r="T20" s="655" t="s">
        <v>108</v>
      </c>
      <c r="U20" s="623">
        <f>IF(T20="S",$C20,)</f>
        <v>2</v>
      </c>
      <c r="Z20" s="131"/>
    </row>
    <row r="21" spans="1:26" x14ac:dyDescent="0.25">
      <c r="A21" s="630"/>
      <c r="B21" s="207" t="s">
        <v>881</v>
      </c>
      <c r="C21" s="511">
        <v>0</v>
      </c>
      <c r="D21" s="655" t="s">
        <v>108</v>
      </c>
      <c r="E21" s="623">
        <f>IF(D21="S",$C21,)</f>
        <v>0</v>
      </c>
      <c r="F21" s="655"/>
      <c r="G21" s="623">
        <f>IF(F21="S",$C21,)</f>
        <v>0</v>
      </c>
      <c r="H21" s="655"/>
      <c r="I21" s="623">
        <f>IF(H21="S",$C21,)</f>
        <v>0</v>
      </c>
      <c r="J21" s="655"/>
      <c r="K21" s="623">
        <f>IF(J21="S",$C21,)</f>
        <v>0</v>
      </c>
      <c r="L21" s="655"/>
      <c r="M21" s="623">
        <f>IF(L21="S",$C21,)</f>
        <v>0</v>
      </c>
      <c r="N21" s="655"/>
      <c r="O21" s="623">
        <f>IF(N21="S",$C21,)</f>
        <v>0</v>
      </c>
      <c r="P21" s="655"/>
      <c r="Q21" s="623">
        <f>IF(P21="S",$C21,)</f>
        <v>0</v>
      </c>
      <c r="R21" s="655" t="s">
        <v>108</v>
      </c>
      <c r="S21" s="623">
        <f>IF(R21="S",$C21,)</f>
        <v>0</v>
      </c>
      <c r="T21" s="655"/>
      <c r="U21" s="623">
        <f>IF(T21="S",$C21,)</f>
        <v>0</v>
      </c>
      <c r="Z21" s="131"/>
    </row>
    <row r="22" spans="1:26" x14ac:dyDescent="0.25">
      <c r="A22" s="204" t="s">
        <v>495</v>
      </c>
      <c r="B22" s="193" t="s">
        <v>1061</v>
      </c>
      <c r="C22" s="512">
        <f>A24</f>
        <v>2</v>
      </c>
      <c r="D22" s="1116"/>
      <c r="E22" s="979" t="str">
        <f>IF(D22&gt;1090,$C22,IF(D22&gt;1069.9,$C23,IF(D22&gt;0,$C24,IF(D22=0,"0"))))</f>
        <v>0</v>
      </c>
      <c r="F22" s="1116">
        <v>1070</v>
      </c>
      <c r="G22" s="979">
        <f>IF(F22&gt;1090,$C22,IF(F22&gt;1069.9,$C23,IF(F22&gt;0,$C24,IF(F22=0,"0"))))</f>
        <v>1</v>
      </c>
      <c r="H22" s="1116">
        <v>1073.26</v>
      </c>
      <c r="I22" s="979">
        <f>IF(H22&gt;1090,$C22,IF(H22&gt;1069.9,$C23,IF(H22&gt;0,$C24,IF(H22=0,"0"))))</f>
        <v>1</v>
      </c>
      <c r="J22" s="1119"/>
      <c r="K22" s="979" t="str">
        <f>IF(J22&gt;1090,$C22,IF(J22&gt;1069.9,$C23,IF(J22&gt;0,$C24,IF(J22=0,"0"))))</f>
        <v>0</v>
      </c>
      <c r="L22" s="1116" t="s">
        <v>690</v>
      </c>
      <c r="M22" s="979">
        <f>IF(L22&gt;1090,$C22,IF(L22&gt;1069.9,$C23,IF(L22&gt;0,$C24,IF(L22=0,"0"))))</f>
        <v>2</v>
      </c>
      <c r="N22" s="1116">
        <v>1150</v>
      </c>
      <c r="O22" s="979">
        <f>IF(N22&gt;1090,$C22,IF(N22&gt;1069.9,$C23,IF(N22&gt;0,$C24,IF(N22=0,"0"))))</f>
        <v>2</v>
      </c>
      <c r="P22" s="1116">
        <v>1120</v>
      </c>
      <c r="Q22" s="979">
        <f>IF(P22&gt;1090,$C22,IF(P22&gt;1069.9,$C23,IF(P22&gt;0,$C24,IF(P22=0,"0"))))</f>
        <v>2</v>
      </c>
      <c r="R22" s="1119"/>
      <c r="S22" s="979" t="str">
        <f>IF(R22&gt;1090,$C22,IF(R22&gt;1069.9,$C23,IF(R22&gt;0,$C24,IF(R22=0,"0"))))</f>
        <v>0</v>
      </c>
      <c r="T22" s="1116">
        <f>1093.06+25.74</f>
        <v>1118.8</v>
      </c>
      <c r="U22" s="979">
        <f>IF(T22&gt;1090,$C22,IF(T22&gt;1069.9,$C23,IF(T22&gt;0,$C24,IF(T22=0,"0"))))</f>
        <v>2</v>
      </c>
      <c r="Z22" s="131"/>
    </row>
    <row r="23" spans="1:26" x14ac:dyDescent="0.25">
      <c r="A23" s="236"/>
      <c r="B23" s="193" t="s">
        <v>1060</v>
      </c>
      <c r="C23" s="512">
        <v>1</v>
      </c>
      <c r="D23" s="1117"/>
      <c r="E23" s="980"/>
      <c r="F23" s="1117"/>
      <c r="G23" s="980"/>
      <c r="H23" s="1117"/>
      <c r="I23" s="980"/>
      <c r="J23" s="1120"/>
      <c r="K23" s="980"/>
      <c r="L23" s="1117"/>
      <c r="M23" s="980"/>
      <c r="N23" s="1117"/>
      <c r="O23" s="980"/>
      <c r="P23" s="1117"/>
      <c r="Q23" s="980"/>
      <c r="R23" s="1120"/>
      <c r="S23" s="980"/>
      <c r="T23" s="1117"/>
      <c r="U23" s="980"/>
      <c r="Z23" s="131"/>
    </row>
    <row r="24" spans="1:26" x14ac:dyDescent="0.25">
      <c r="A24" s="631">
        <v>2</v>
      </c>
      <c r="B24" s="193" t="s">
        <v>1062</v>
      </c>
      <c r="C24" s="512">
        <v>0</v>
      </c>
      <c r="D24" s="1118"/>
      <c r="E24" s="981"/>
      <c r="F24" s="1118"/>
      <c r="G24" s="981"/>
      <c r="H24" s="1118"/>
      <c r="I24" s="981"/>
      <c r="J24" s="1121"/>
      <c r="K24" s="981"/>
      <c r="L24" s="1118"/>
      <c r="M24" s="981"/>
      <c r="N24" s="1118"/>
      <c r="O24" s="981"/>
      <c r="P24" s="1118"/>
      <c r="Q24" s="981"/>
      <c r="R24" s="1121"/>
      <c r="S24" s="981"/>
      <c r="T24" s="1118"/>
      <c r="U24" s="981"/>
      <c r="Z24" s="131"/>
    </row>
    <row r="25" spans="1:26" x14ac:dyDescent="0.25">
      <c r="A25" s="203" t="s">
        <v>336</v>
      </c>
      <c r="B25" s="201" t="s">
        <v>179</v>
      </c>
      <c r="C25" s="115">
        <f>A26</f>
        <v>15</v>
      </c>
      <c r="D25" s="510"/>
      <c r="E25" s="976">
        <f>IF(D25="s",A25,IF(D26="S",A26,))</f>
        <v>0</v>
      </c>
      <c r="F25" s="510" t="s">
        <v>108</v>
      </c>
      <c r="G25" s="976">
        <f>IF(F25="s",$C25,IF(F26="S",C26,))</f>
        <v>15</v>
      </c>
      <c r="H25" s="100"/>
      <c r="I25" s="976">
        <f>IF(H25="s",$C25,IF(H26="S",E26,))</f>
        <v>0</v>
      </c>
      <c r="J25" s="100"/>
      <c r="K25" s="976">
        <f>IF(J25="s",$C25,IF(J26="S",G26,))</f>
        <v>0</v>
      </c>
      <c r="L25" s="100"/>
      <c r="M25" s="976">
        <f>IF(L25="s",$C25,IF(L26="S",I26,))</f>
        <v>0</v>
      </c>
      <c r="N25" s="510" t="s">
        <v>108</v>
      </c>
      <c r="O25" s="976">
        <f>IF(N25="s",$C25,IF(N26="S",K26,))</f>
        <v>15</v>
      </c>
      <c r="P25" s="510" t="s">
        <v>108</v>
      </c>
      <c r="Q25" s="976">
        <f>IF(P25="s",$C25,IF(P26="S",M26,))</f>
        <v>15</v>
      </c>
      <c r="R25" s="100"/>
      <c r="S25" s="976">
        <f>IF(R25="s",$C25,IF(R26="S",O26,))</f>
        <v>0</v>
      </c>
      <c r="T25" s="100" t="s">
        <v>108</v>
      </c>
      <c r="U25" s="976">
        <f>IF(T25="s",$C25,IF(T26="S",Q26,))</f>
        <v>15</v>
      </c>
      <c r="Z25" s="131"/>
    </row>
    <row r="26" spans="1:26" x14ac:dyDescent="0.25">
      <c r="A26" s="657">
        <v>15</v>
      </c>
      <c r="B26" s="201" t="s">
        <v>395</v>
      </c>
      <c r="C26" s="115">
        <v>0</v>
      </c>
      <c r="D26" s="510" t="s">
        <v>1081</v>
      </c>
      <c r="E26" s="978"/>
      <c r="F26" s="201"/>
      <c r="G26" s="978"/>
      <c r="H26" s="510" t="s">
        <v>108</v>
      </c>
      <c r="I26" s="978"/>
      <c r="J26" s="510" t="s">
        <v>108</v>
      </c>
      <c r="K26" s="978"/>
      <c r="L26" s="100" t="s">
        <v>108</v>
      </c>
      <c r="M26" s="978"/>
      <c r="N26" s="201"/>
      <c r="O26" s="978"/>
      <c r="P26" s="201"/>
      <c r="Q26" s="978"/>
      <c r="R26" s="201" t="s">
        <v>108</v>
      </c>
      <c r="S26" s="978"/>
      <c r="T26" s="201"/>
      <c r="U26" s="978"/>
      <c r="Z26" s="131"/>
    </row>
    <row r="27" spans="1:26" s="96" customFormat="1" x14ac:dyDescent="0.25">
      <c r="A27" s="204" t="s">
        <v>1058</v>
      </c>
      <c r="B27" s="656" t="s">
        <v>140</v>
      </c>
      <c r="C27" s="13">
        <f>A28</f>
        <v>2</v>
      </c>
      <c r="D27" s="1107" t="s">
        <v>1056</v>
      </c>
      <c r="E27" s="1047">
        <f>IF(D27="M",$C27,IF(D27="P",$C28,))</f>
        <v>2</v>
      </c>
      <c r="F27" s="1107" t="s">
        <v>1056</v>
      </c>
      <c r="G27" s="1047">
        <f>IF(F27="M",$C27,IF(F27="P",$C28,))</f>
        <v>2</v>
      </c>
      <c r="H27" s="1107" t="s">
        <v>1056</v>
      </c>
      <c r="I27" s="1047">
        <f>IF(H27="M",$C27,IF(H27="P",$C28,))</f>
        <v>2</v>
      </c>
      <c r="J27" s="1107"/>
      <c r="K27" s="1047">
        <f>IF(J27="M",$C27,IF(J27="P",$C28,))</f>
        <v>0</v>
      </c>
      <c r="L27" s="1107" t="s">
        <v>1056</v>
      </c>
      <c r="M27" s="1047">
        <f>IF(L27="M",$C27,IF(L27="P",$C28,))</f>
        <v>2</v>
      </c>
      <c r="N27" s="1107" t="s">
        <v>1059</v>
      </c>
      <c r="O27" s="1047">
        <f>IF(N27="M",$C27,IF(N27="P",$C28,))</f>
        <v>1</v>
      </c>
      <c r="P27" s="1107" t="s">
        <v>1056</v>
      </c>
      <c r="Q27" s="1047">
        <f>IF(P27="M",$C27,IF(P27="P",$C28,))</f>
        <v>2</v>
      </c>
      <c r="R27" s="1107" t="s">
        <v>1056</v>
      </c>
      <c r="S27" s="1047">
        <f>IF(R27="M",$C27,IF(R27="P",$C28,))</f>
        <v>2</v>
      </c>
      <c r="T27" s="1107" t="s">
        <v>1056</v>
      </c>
      <c r="U27" s="1047">
        <f>IF(T27="M",$C27,IF(T27="P",$C28,))</f>
        <v>2</v>
      </c>
      <c r="W27" s="101"/>
      <c r="X27" s="101"/>
      <c r="Y27"/>
      <c r="Z27" s="131"/>
    </row>
    <row r="28" spans="1:26" s="96" customFormat="1" x14ac:dyDescent="0.25">
      <c r="A28" s="658">
        <v>2</v>
      </c>
      <c r="B28" s="649" t="s">
        <v>1053</v>
      </c>
      <c r="C28" s="512">
        <v>1</v>
      </c>
      <c r="D28" s="1108"/>
      <c r="E28" s="1047"/>
      <c r="F28" s="1108"/>
      <c r="G28" s="1047"/>
      <c r="H28" s="1108"/>
      <c r="I28" s="1047"/>
      <c r="J28" s="1108"/>
      <c r="K28" s="1047"/>
      <c r="L28" s="1108"/>
      <c r="M28" s="1047"/>
      <c r="N28" s="1108"/>
      <c r="O28" s="1047"/>
      <c r="P28" s="1108"/>
      <c r="Q28" s="1047"/>
      <c r="R28" s="1108"/>
      <c r="S28" s="1047"/>
      <c r="T28" s="1108"/>
      <c r="U28" s="1047"/>
      <c r="W28" s="357"/>
      <c r="X28" s="357"/>
      <c r="Z28" s="131"/>
    </row>
    <row r="29" spans="1:26" s="30" customFormat="1" x14ac:dyDescent="0.25">
      <c r="A29" s="637" t="s">
        <v>50</v>
      </c>
      <c r="B29" s="639">
        <f>SUM(A4:A28)</f>
        <v>45</v>
      </c>
      <c r="C29" s="637"/>
      <c r="D29" s="638"/>
      <c r="E29" s="638">
        <f>SUM(E4:E25)</f>
        <v>16</v>
      </c>
      <c r="F29" s="637"/>
      <c r="G29" s="638">
        <f>SUM(G4:G25)</f>
        <v>37</v>
      </c>
      <c r="H29" s="637"/>
      <c r="I29" s="638">
        <f>SUM(I4:I25)</f>
        <v>21</v>
      </c>
      <c r="J29" s="637"/>
      <c r="K29" s="638">
        <f>SUM(K4:K25)</f>
        <v>2</v>
      </c>
      <c r="L29" s="637"/>
      <c r="M29" s="638">
        <f>SUM(M4:M25)</f>
        <v>26</v>
      </c>
      <c r="N29" s="637"/>
      <c r="O29" s="638">
        <f>SUM(O4:O25)</f>
        <v>33</v>
      </c>
      <c r="P29" s="637"/>
      <c r="Q29" s="638">
        <f>SUM(Q4:Q25)</f>
        <v>29</v>
      </c>
      <c r="R29" s="637"/>
      <c r="S29" s="638">
        <f>SUM(S4:S25)</f>
        <v>16</v>
      </c>
      <c r="T29" s="637"/>
      <c r="U29" s="638">
        <f>SUM(U4:U25)</f>
        <v>42</v>
      </c>
      <c r="W29" s="357"/>
      <c r="X29" s="357"/>
      <c r="Y29" s="96"/>
      <c r="Z29" s="131"/>
    </row>
    <row r="30" spans="1:26" s="644" customFormat="1" x14ac:dyDescent="0.25">
      <c r="A30" s="641"/>
      <c r="B30" s="642"/>
      <c r="C30" s="641"/>
      <c r="D30" s="643"/>
      <c r="E30" s="643"/>
      <c r="F30" s="641"/>
      <c r="G30" s="643"/>
      <c r="H30" s="641"/>
      <c r="I30" s="643"/>
      <c r="J30" s="641"/>
      <c r="K30" s="643"/>
      <c r="L30" s="641"/>
      <c r="M30" s="643"/>
      <c r="N30" s="641"/>
      <c r="O30" s="643"/>
      <c r="P30" s="641"/>
      <c r="Q30" s="643"/>
      <c r="R30" s="641"/>
      <c r="S30" s="643"/>
      <c r="T30" s="641"/>
      <c r="U30" s="643"/>
      <c r="W30" s="101"/>
      <c r="X30" s="101"/>
      <c r="Y30" s="101"/>
      <c r="Z30" s="131"/>
    </row>
    <row r="31" spans="1:26" s="644" customFormat="1" x14ac:dyDescent="0.25">
      <c r="C31" s="641"/>
      <c r="D31" s="643"/>
      <c r="E31" s="643"/>
      <c r="F31" s="641"/>
      <c r="G31" s="643"/>
      <c r="H31" s="641"/>
      <c r="I31" s="643"/>
      <c r="J31" s="641"/>
      <c r="K31" s="643"/>
      <c r="L31" s="641"/>
      <c r="M31" s="643"/>
      <c r="N31" s="641"/>
      <c r="O31" s="643"/>
      <c r="P31" s="641"/>
      <c r="Q31" s="643"/>
      <c r="R31" s="641"/>
      <c r="S31" s="643"/>
      <c r="T31" s="641"/>
      <c r="U31" s="643"/>
      <c r="W31" s="357"/>
      <c r="X31" s="357"/>
      <c r="Y31" s="357"/>
      <c r="Z31" s="131"/>
    </row>
    <row r="32" spans="1:26" x14ac:dyDescent="0.25">
      <c r="W32" s="357"/>
      <c r="X32" s="357"/>
      <c r="Y32" s="357"/>
      <c r="Z32" s="131"/>
    </row>
    <row r="33" spans="1:26" ht="39.75" customHeight="1" x14ac:dyDescent="0.25">
      <c r="D33" s="1114" t="str">
        <f>Empresas!A$93</f>
        <v>ANDALUZA DE PAPELERIA (OFIPAPEL)</v>
      </c>
      <c r="E33" s="1115"/>
      <c r="F33" s="1114" t="str">
        <f>Empresas!A$94</f>
        <v>CECILIO MÁRQUEZ</v>
      </c>
      <c r="G33" s="1115"/>
      <c r="H33" s="1114" t="str">
        <f>Empresas!A$95</f>
        <v>EL CORTE INGLÉS</v>
      </c>
      <c r="I33" s="1115"/>
      <c r="J33" s="1114" t="str">
        <f>Empresas!$A$96</f>
        <v>GRUPO KAT</v>
      </c>
      <c r="K33" s="1115"/>
      <c r="L33" s="1114" t="str">
        <f>Empresas!$A$97</f>
        <v>LABELLA S.L</v>
      </c>
      <c r="M33" s="1115"/>
      <c r="N33" s="1114" t="str">
        <f>Empresas!$A$98</f>
        <v>MUEBLES TINAS</v>
      </c>
      <c r="O33" s="1115"/>
      <c r="P33" s="1114" t="str">
        <f>Empresas!$A$99</f>
        <v>OFINET</v>
      </c>
      <c r="Q33" s="1115"/>
      <c r="R33" s="1114" t="str">
        <f>Empresas!$A$100</f>
        <v>PAPELERÍA COLÓN</v>
      </c>
      <c r="S33" s="1115"/>
      <c r="T33" s="1114" t="str">
        <f>Empresas!$A$101</f>
        <v>TEXTIL HOGAR</v>
      </c>
      <c r="U33" s="1115"/>
      <c r="W33" s="357"/>
      <c r="X33" s="357"/>
      <c r="Y33" s="357"/>
      <c r="Z33" s="131"/>
    </row>
    <row r="34" spans="1:26" x14ac:dyDescent="0.25">
      <c r="A34" s="635" t="str">
        <f>'Lote 6'!B9</f>
        <v>CORTINAJE ESCENARIO PARANINFO</v>
      </c>
      <c r="B34" s="635"/>
      <c r="C34" s="635"/>
      <c r="D34" s="1122"/>
      <c r="E34" s="1126"/>
      <c r="F34" s="1122"/>
      <c r="G34" s="1126"/>
      <c r="H34" s="1122"/>
      <c r="I34" s="1126"/>
      <c r="J34" s="1122"/>
      <c r="K34" s="1126"/>
      <c r="L34" s="1122"/>
      <c r="M34" s="1126"/>
      <c r="N34" s="1122"/>
      <c r="O34" s="1126"/>
      <c r="P34" s="1122"/>
      <c r="Q34" s="1126"/>
      <c r="R34" s="1122"/>
      <c r="S34" s="1126"/>
      <c r="T34" s="1122"/>
      <c r="U34" s="1126"/>
      <c r="W34" s="357"/>
      <c r="X34" s="357"/>
      <c r="Y34" s="357"/>
      <c r="Z34" s="131"/>
    </row>
    <row r="35" spans="1:26" x14ac:dyDescent="0.25">
      <c r="A35" s="203" t="s">
        <v>496</v>
      </c>
      <c r="B35" s="201" t="s">
        <v>139</v>
      </c>
      <c r="C35" s="115">
        <v>2</v>
      </c>
      <c r="D35" s="510"/>
      <c r="E35" s="976">
        <f>IF(D35="s",C35,IF(D36="S",C36,))</f>
        <v>0</v>
      </c>
      <c r="F35" s="510" t="s">
        <v>108</v>
      </c>
      <c r="G35" s="976">
        <f>IF(F35="s",$C35,IF(F36="S",$C36,))</f>
        <v>2</v>
      </c>
      <c r="H35" s="510" t="s">
        <v>108</v>
      </c>
      <c r="I35" s="976">
        <f>IF(H35="s",$C35,IF(H36="S",$C36,))</f>
        <v>2</v>
      </c>
      <c r="J35" s="100"/>
      <c r="K35" s="976">
        <f>IF(J35="s",I35,IF(J36="S",I36,))</f>
        <v>0</v>
      </c>
      <c r="L35" s="100"/>
      <c r="M35" s="976">
        <f>IF(L35="s",$C35,IF(L36="S",$C36,))</f>
        <v>0</v>
      </c>
      <c r="N35" s="510" t="s">
        <v>108</v>
      </c>
      <c r="O35" s="976">
        <f>IF(N35="s",$C35,IF(N36="S",$C36,))</f>
        <v>2</v>
      </c>
      <c r="P35" s="510" t="s">
        <v>108</v>
      </c>
      <c r="Q35" s="976">
        <f>IF(P35="s",$C35,IF(P36="S",$C36,))</f>
        <v>2</v>
      </c>
      <c r="R35" s="100"/>
      <c r="S35" s="976">
        <f>IF(R35="s",$C35,IF(R36="S",$C36,))</f>
        <v>0</v>
      </c>
      <c r="T35" s="100" t="s">
        <v>108</v>
      </c>
      <c r="U35" s="976">
        <f>IF(T35="s",$C35,IF(T36="S",$C36,))</f>
        <v>2</v>
      </c>
      <c r="W35" s="357"/>
      <c r="X35" s="357"/>
      <c r="Y35" s="357"/>
      <c r="Z35" s="131"/>
    </row>
    <row r="36" spans="1:26" x14ac:dyDescent="0.25">
      <c r="A36" s="205">
        <v>2</v>
      </c>
      <c r="B36" s="201" t="s">
        <v>497</v>
      </c>
      <c r="C36" s="115">
        <v>0</v>
      </c>
      <c r="D36" s="510" t="s">
        <v>108</v>
      </c>
      <c r="E36" s="978"/>
      <c r="F36" s="201"/>
      <c r="G36" s="978"/>
      <c r="H36" s="201"/>
      <c r="I36" s="978"/>
      <c r="J36" s="201"/>
      <c r="K36" s="978"/>
      <c r="L36" s="201"/>
      <c r="M36" s="978"/>
      <c r="N36" s="201"/>
      <c r="O36" s="978"/>
      <c r="P36" s="201"/>
      <c r="Q36" s="978"/>
      <c r="R36" s="201"/>
      <c r="S36" s="978"/>
      <c r="T36" s="201"/>
      <c r="U36" s="978"/>
      <c r="W36" s="357"/>
      <c r="X36" s="357"/>
      <c r="Y36" s="357"/>
      <c r="Z36" s="131"/>
    </row>
    <row r="37" spans="1:26" x14ac:dyDescent="0.25">
      <c r="A37" s="204" t="s">
        <v>498</v>
      </c>
      <c r="B37" s="193" t="s">
        <v>139</v>
      </c>
      <c r="C37" s="75">
        <v>2</v>
      </c>
      <c r="D37" s="114"/>
      <c r="E37" s="979">
        <f>IF(D37="s",C37,IF(D38="S",C38,))</f>
        <v>0</v>
      </c>
      <c r="F37" s="114" t="s">
        <v>108</v>
      </c>
      <c r="G37" s="979">
        <f>IF(F37="s",$C37,IF(F38="S",$C38,))</f>
        <v>2</v>
      </c>
      <c r="H37" s="114" t="s">
        <v>108</v>
      </c>
      <c r="I37" s="979">
        <f>IF(H37="s",$C37,IF(H38="S",$C38,))</f>
        <v>2</v>
      </c>
      <c r="J37" s="114"/>
      <c r="K37" s="979">
        <f>IF(J37="s",I37,IF(J38="S",I38,))</f>
        <v>0</v>
      </c>
      <c r="L37" s="114"/>
      <c r="M37" s="979">
        <f>IF(L37="s",$C37,IF(L38="S",$C38,))</f>
        <v>0</v>
      </c>
      <c r="N37" s="114" t="s">
        <v>108</v>
      </c>
      <c r="O37" s="979">
        <f>IF(N37="s",$C37,IF(N38="S",$C38,))</f>
        <v>2</v>
      </c>
      <c r="P37" s="114" t="s">
        <v>108</v>
      </c>
      <c r="Q37" s="979">
        <f>IF(P37="s",$C37,IF(P38="S",$C38,))</f>
        <v>2</v>
      </c>
      <c r="R37" s="114"/>
      <c r="S37" s="979">
        <f>IF(R37="s",$C37,IF(R38="S",$C38,))</f>
        <v>0</v>
      </c>
      <c r="T37" s="114" t="s">
        <v>108</v>
      </c>
      <c r="U37" s="979">
        <f>IF(T37="s",$C37,IF(T38="S",$C38,))</f>
        <v>2</v>
      </c>
      <c r="W37" s="357"/>
      <c r="X37" s="357"/>
      <c r="Y37" s="357"/>
      <c r="Z37" s="131"/>
    </row>
    <row r="38" spans="1:26" x14ac:dyDescent="0.25">
      <c r="A38" s="236">
        <v>2</v>
      </c>
      <c r="B38" s="193" t="s">
        <v>497</v>
      </c>
      <c r="C38" s="75">
        <v>0</v>
      </c>
      <c r="D38" s="114" t="s">
        <v>108</v>
      </c>
      <c r="E38" s="981"/>
      <c r="F38" s="193"/>
      <c r="G38" s="981"/>
      <c r="H38" s="193"/>
      <c r="I38" s="981"/>
      <c r="J38" s="193"/>
      <c r="K38" s="981"/>
      <c r="L38" s="193"/>
      <c r="M38" s="981"/>
      <c r="N38" s="193"/>
      <c r="O38" s="981"/>
      <c r="P38" s="193"/>
      <c r="Q38" s="981"/>
      <c r="R38" s="193"/>
      <c r="S38" s="981"/>
      <c r="T38" s="193"/>
      <c r="U38" s="981"/>
      <c r="W38" s="357"/>
      <c r="X38" s="357"/>
      <c r="Y38" s="357"/>
      <c r="Z38" s="131"/>
    </row>
    <row r="39" spans="1:26" x14ac:dyDescent="0.25">
      <c r="A39" s="203" t="s">
        <v>500</v>
      </c>
      <c r="B39" s="201" t="s">
        <v>1084</v>
      </c>
      <c r="C39" s="115">
        <v>2</v>
      </c>
      <c r="D39" s="1105"/>
      <c r="E39" s="976" t="str">
        <f>IF(D39&gt;999.9,$C39,IF(D39&gt;0,$C40,IF(D39=0,"0")))</f>
        <v>0</v>
      </c>
      <c r="F39" s="1109">
        <v>940</v>
      </c>
      <c r="G39" s="976">
        <f>IF(F39&gt;999.9,$C39,IF(F39&gt;0,$C40,IF(F39=0,"0")))</f>
        <v>0</v>
      </c>
      <c r="H39" s="976" t="str">
        <f>IF(G39&gt;999.9,$C39,IF(G39&gt;0,$C40,IF(G39=0,"0")))</f>
        <v>0</v>
      </c>
      <c r="I39" s="976">
        <f>IF(H39&gt;9.9,$C39,IF(H39&gt;0,$C40,IF(H39=0,"0")))</f>
        <v>2</v>
      </c>
      <c r="J39" s="1105">
        <v>0</v>
      </c>
      <c r="K39" s="976" t="str">
        <f>IF(J39&gt;999.9,$C39,IF(J39&gt;0,$C40,IF(J39=0,"0")))</f>
        <v>0</v>
      </c>
      <c r="L39" s="1105">
        <v>920</v>
      </c>
      <c r="M39" s="976">
        <f>IF(L39&gt;999.9,$C39,IF(L39&gt;0,$C40,IF(L39=0,"0")))</f>
        <v>0</v>
      </c>
      <c r="N39" s="1109">
        <v>1158</v>
      </c>
      <c r="O39" s="976">
        <f>IF(N39&gt;999.9,$C39,IF(N39&gt;0,$C40,IF(N39=0,"0")))</f>
        <v>2</v>
      </c>
      <c r="P39" s="1105">
        <v>1000</v>
      </c>
      <c r="Q39" s="976">
        <f>IF(P39&gt;999.9,$C39,IF(P39&gt;0,$C40,IF(P39=0,"0")))</f>
        <v>2</v>
      </c>
      <c r="R39" s="1105"/>
      <c r="S39" s="976" t="str">
        <f>IF(R39&gt;999.9,$C39,IF(R39&gt;0,$C40,IF(R39=0,"0")))</f>
        <v>0</v>
      </c>
      <c r="T39" s="1105">
        <v>1000</v>
      </c>
      <c r="U39" s="976">
        <f>IF(T39&gt;999.9,$C39,IF(T39&gt;0,$C40,IF(T39=0,"0")))</f>
        <v>2</v>
      </c>
      <c r="W39" s="357"/>
      <c r="X39" s="357"/>
      <c r="Y39" s="357"/>
      <c r="Z39" s="131"/>
    </row>
    <row r="40" spans="1:26" x14ac:dyDescent="0.25">
      <c r="A40" s="205">
        <v>4</v>
      </c>
      <c r="B40" s="201" t="s">
        <v>1085</v>
      </c>
      <c r="C40" s="115">
        <v>0</v>
      </c>
      <c r="D40" s="1129"/>
      <c r="E40" s="978"/>
      <c r="F40" s="1110"/>
      <c r="G40" s="978"/>
      <c r="H40" s="978"/>
      <c r="I40" s="978"/>
      <c r="J40" s="1129"/>
      <c r="K40" s="978"/>
      <c r="L40" s="1129"/>
      <c r="M40" s="978"/>
      <c r="N40" s="1110"/>
      <c r="O40" s="978"/>
      <c r="P40" s="1129"/>
      <c r="Q40" s="978"/>
      <c r="R40" s="1129"/>
      <c r="S40" s="978"/>
      <c r="T40" s="1129"/>
      <c r="U40" s="978"/>
      <c r="W40" s="357"/>
      <c r="X40" s="357"/>
      <c r="Y40" s="357"/>
      <c r="Z40" s="131"/>
    </row>
    <row r="41" spans="1:26" x14ac:dyDescent="0.25">
      <c r="A41" s="204" t="s">
        <v>501</v>
      </c>
      <c r="B41" s="193" t="s">
        <v>502</v>
      </c>
      <c r="C41" s="75">
        <v>2</v>
      </c>
      <c r="D41" s="1107"/>
      <c r="E41" s="979" t="str">
        <f>IF(D41&gt;459.9,$C41,IF(D41&gt;0,$C42,IF(D41=0,"0")))</f>
        <v>0</v>
      </c>
      <c r="F41" s="1111">
        <v>415</v>
      </c>
      <c r="G41" s="979">
        <f>IF(F41&gt;459.9,$C41,IF(F41&gt;0,$C42,IF(F41=0,"0")))</f>
        <v>0</v>
      </c>
      <c r="H41" s="1107">
        <v>460</v>
      </c>
      <c r="I41" s="979">
        <f>IF(H41&gt;459.9,$C41,IF(H41&gt;0,$C42,IF(H41=0,"0")))</f>
        <v>2</v>
      </c>
      <c r="J41" s="1107">
        <v>0</v>
      </c>
      <c r="K41" s="979" t="str">
        <f>IF(J41&gt;459.9,$C41,IF(J41&gt;0,$C42,IF(J41=0,"0")))</f>
        <v>0</v>
      </c>
      <c r="L41" s="1107">
        <v>410</v>
      </c>
      <c r="M41" s="979">
        <f>IF(L41&gt;459.9,$C41,IF(L41&gt;0,$C42,IF(L41=0,"0")))</f>
        <v>0</v>
      </c>
      <c r="N41" s="1111">
        <v>430</v>
      </c>
      <c r="O41" s="979">
        <f>IF(N41&gt;459.9,$C41,IF(N41&gt;0,$C42,IF(N41=0,"0")))</f>
        <v>0</v>
      </c>
      <c r="P41" s="1107">
        <v>300</v>
      </c>
      <c r="Q41" s="979">
        <f>IF(P41&gt;459.9,$C41,IF(P41&gt;0,$C42,IF(P41=0,"0")))</f>
        <v>0</v>
      </c>
      <c r="R41" s="1107"/>
      <c r="S41" s="979" t="str">
        <f>IF(R41&gt;459.9,$C41,IF(R41&gt;0,$C42,IF(R41=0,"0")))</f>
        <v>0</v>
      </c>
      <c r="T41" s="1107">
        <v>460</v>
      </c>
      <c r="U41" s="979">
        <f>IF(T41&gt;459.9,$C41,IF(T41&gt;0,$C42,IF(T41=0,"0")))</f>
        <v>2</v>
      </c>
      <c r="W41" s="357"/>
      <c r="X41" s="357"/>
      <c r="Y41" s="357"/>
      <c r="Z41" s="131"/>
    </row>
    <row r="42" spans="1:26" x14ac:dyDescent="0.25">
      <c r="A42" s="236">
        <v>4</v>
      </c>
      <c r="B42" s="193" t="s">
        <v>503</v>
      </c>
      <c r="C42" s="75">
        <v>0</v>
      </c>
      <c r="D42" s="1113"/>
      <c r="E42" s="981"/>
      <c r="F42" s="1112"/>
      <c r="G42" s="981"/>
      <c r="H42" s="1113"/>
      <c r="I42" s="981"/>
      <c r="J42" s="1113"/>
      <c r="K42" s="981"/>
      <c r="L42" s="1113"/>
      <c r="M42" s="981"/>
      <c r="N42" s="1112"/>
      <c r="O42" s="981"/>
      <c r="P42" s="1113"/>
      <c r="Q42" s="981"/>
      <c r="R42" s="1113"/>
      <c r="S42" s="981"/>
      <c r="T42" s="1113"/>
      <c r="U42" s="981"/>
      <c r="W42" s="357"/>
      <c r="X42" s="357"/>
      <c r="Y42" s="357"/>
      <c r="Z42" s="131"/>
    </row>
    <row r="43" spans="1:26" x14ac:dyDescent="0.25">
      <c r="A43" s="203" t="s">
        <v>499</v>
      </c>
      <c r="B43" s="201" t="s">
        <v>139</v>
      </c>
      <c r="C43" s="115">
        <v>2</v>
      </c>
      <c r="D43" s="510"/>
      <c r="E43" s="100"/>
      <c r="F43" s="510" t="s">
        <v>108</v>
      </c>
      <c r="G43" s="976">
        <f>IF(F43="s",$C43,IF(F44="S",$C44,))</f>
        <v>2</v>
      </c>
      <c r="H43" s="510" t="s">
        <v>108</v>
      </c>
      <c r="I43" s="976">
        <f>IF(H43="s",$C43,IF(H44="S",$C44,))</f>
        <v>2</v>
      </c>
      <c r="J43" s="100"/>
      <c r="K43" s="976">
        <f>IF(J43="s",I43,IF(J44="S",I44,))</f>
        <v>0</v>
      </c>
      <c r="L43" s="100"/>
      <c r="M43" s="976">
        <f>IF(L43="s",$C43,IF(L44="S",$C44,))</f>
        <v>0</v>
      </c>
      <c r="N43" s="510" t="s">
        <v>108</v>
      </c>
      <c r="O43" s="976">
        <f>IF(N43="s",$C43,IF(N44="S",$C44,))</f>
        <v>2</v>
      </c>
      <c r="P43" s="510" t="s">
        <v>108</v>
      </c>
      <c r="Q43" s="976">
        <f>IF(P43="s",$C43,IF(P44="S",$C44,))</f>
        <v>2</v>
      </c>
      <c r="R43" s="100"/>
      <c r="S43" s="976">
        <f>IF(R43="s",$C43,IF(R44="S",$C44,))</f>
        <v>0</v>
      </c>
      <c r="T43" s="100" t="s">
        <v>108</v>
      </c>
      <c r="U43" s="976">
        <f>IF(T43="s",$C43,IF(T44="S",$C44,))</f>
        <v>2</v>
      </c>
      <c r="W43" s="357"/>
      <c r="X43" s="357"/>
      <c r="Y43" s="357"/>
      <c r="Z43" s="131"/>
    </row>
    <row r="44" spans="1:26" x14ac:dyDescent="0.25">
      <c r="A44" s="205">
        <v>4</v>
      </c>
      <c r="B44" s="201" t="s">
        <v>497</v>
      </c>
      <c r="C44" s="115">
        <v>0</v>
      </c>
      <c r="D44" s="510"/>
      <c r="E44" s="201"/>
      <c r="F44" s="201"/>
      <c r="G44" s="978"/>
      <c r="H44" s="201"/>
      <c r="I44" s="978"/>
      <c r="J44" s="201"/>
      <c r="K44" s="978"/>
      <c r="L44" s="201"/>
      <c r="M44" s="978"/>
      <c r="N44" s="201"/>
      <c r="O44" s="978"/>
      <c r="P44" s="201"/>
      <c r="Q44" s="978"/>
      <c r="R44" s="201"/>
      <c r="S44" s="978"/>
      <c r="T44" s="201"/>
      <c r="U44" s="978"/>
      <c r="W44" s="357"/>
      <c r="X44" s="357"/>
      <c r="Y44" s="357"/>
      <c r="Z44" s="131"/>
    </row>
    <row r="45" spans="1:26" x14ac:dyDescent="0.25">
      <c r="A45" s="204" t="s">
        <v>504</v>
      </c>
      <c r="B45" s="193" t="s">
        <v>506</v>
      </c>
      <c r="C45" s="75">
        <v>2</v>
      </c>
      <c r="D45" s="1107"/>
      <c r="E45" s="979" t="str">
        <f>IF(D45&gt;799.9,$C45,IF(D45&gt;0,$C46,IF(D45=0,"0")))</f>
        <v>0</v>
      </c>
      <c r="F45" s="1111">
        <v>920</v>
      </c>
      <c r="G45" s="979">
        <f>IF(F45&gt;799.9,$C45,IF(F45&gt;0,$C46,IF(F45=0,"0")))</f>
        <v>2</v>
      </c>
      <c r="H45" s="1107">
        <v>300</v>
      </c>
      <c r="I45" s="979">
        <f>IF(H45&gt;799.9,$C45,IF(H45&gt;0,$C46,IF(H45=0,"0")))</f>
        <v>0</v>
      </c>
      <c r="J45" s="1107">
        <v>0</v>
      </c>
      <c r="K45" s="979" t="str">
        <f>IF(J45&gt;799.9,$C45,IF(J45&gt;0,$C46,IF(J45=0,"0")))</f>
        <v>0</v>
      </c>
      <c r="L45" s="1107"/>
      <c r="M45" s="979" t="str">
        <f>IF(L45&gt;799.9,$C45,IF(L45&gt;0,$C46,IF(L45=0,"0")))</f>
        <v>0</v>
      </c>
      <c r="N45" s="1111">
        <f>288+288+318</f>
        <v>894</v>
      </c>
      <c r="O45" s="979">
        <f>IF(N45&gt;799.9,$C45,IF(N45&gt;0,$C46,IF(N45=0,"0")))</f>
        <v>2</v>
      </c>
      <c r="P45" s="1107">
        <v>800</v>
      </c>
      <c r="Q45" s="979">
        <f>IF(P45&gt;799.9,$C45,IF(P45&gt;0,$C46,IF(P45=0,"0")))</f>
        <v>2</v>
      </c>
      <c r="R45" s="1107"/>
      <c r="S45" s="979" t="str">
        <f>IF(R45&gt;799.9,$C45,IF(R45&gt;0,$C46,IF(R45=0,"0")))</f>
        <v>0</v>
      </c>
      <c r="T45" s="1107">
        <v>800</v>
      </c>
      <c r="U45" s="979">
        <f>IF(T45&gt;799.9,$C45,IF(T45&gt;0,$C46,IF(T45=0,"0")))</f>
        <v>2</v>
      </c>
      <c r="W45" s="357"/>
      <c r="X45" s="357"/>
      <c r="Y45" s="357"/>
      <c r="Z45" s="131"/>
    </row>
    <row r="46" spans="1:26" x14ac:dyDescent="0.25">
      <c r="A46" s="236">
        <v>4</v>
      </c>
      <c r="B46" s="193" t="s">
        <v>1088</v>
      </c>
      <c r="C46" s="75">
        <v>0</v>
      </c>
      <c r="D46" s="1113"/>
      <c r="E46" s="981"/>
      <c r="F46" s="1112"/>
      <c r="G46" s="981"/>
      <c r="H46" s="1113"/>
      <c r="I46" s="981"/>
      <c r="J46" s="1113"/>
      <c r="K46" s="981"/>
      <c r="L46" s="1113"/>
      <c r="M46" s="981"/>
      <c r="N46" s="1112"/>
      <c r="O46" s="981"/>
      <c r="P46" s="1113"/>
      <c r="Q46" s="981"/>
      <c r="R46" s="1113"/>
      <c r="S46" s="981"/>
      <c r="T46" s="1113"/>
      <c r="U46" s="981"/>
      <c r="W46" s="357"/>
      <c r="X46" s="357"/>
      <c r="Y46" s="357"/>
      <c r="Z46" s="131"/>
    </row>
    <row r="47" spans="1:26" x14ac:dyDescent="0.25">
      <c r="A47" s="203" t="s">
        <v>505</v>
      </c>
      <c r="B47" s="201" t="s">
        <v>507</v>
      </c>
      <c r="C47" s="115">
        <v>2</v>
      </c>
      <c r="D47" s="1105"/>
      <c r="E47" s="976" t="str">
        <f>IF(D47&gt;299.9,$C47,IF(D47&gt;0,$C48,IF(D47=0,"0")))</f>
        <v>0</v>
      </c>
      <c r="F47" s="1102">
        <v>278</v>
      </c>
      <c r="G47" s="976">
        <f>IF(F47&gt;299.9,$C47,IF(F47&gt;0,$C48,IF(F47=0,"0")))</f>
        <v>0</v>
      </c>
      <c r="H47" s="1105">
        <v>300</v>
      </c>
      <c r="I47" s="976">
        <f>IF(H47&gt;299.9,$C47,IF(H47&gt;0,$C48,IF(H47=0,"0")))</f>
        <v>2</v>
      </c>
      <c r="J47" s="976"/>
      <c r="K47" s="976" t="str">
        <f>IF(J47&gt;299.9,$C47,IF(J47&gt;0,$C48,IF(J47=0,"0")))</f>
        <v>0</v>
      </c>
      <c r="L47" s="1105"/>
      <c r="M47" s="976" t="str">
        <f>IF(L47&gt;299.9,$C47,IF(L47&gt;0,$C48,IF(L47=0,"0")))</f>
        <v>0</v>
      </c>
      <c r="N47" s="1109">
        <v>280</v>
      </c>
      <c r="O47" s="976">
        <f>IF(N47&gt;299.9,$C47,IF(N47&gt;0,$C48,IF(N47=0,"0")))</f>
        <v>0</v>
      </c>
      <c r="P47" s="1105">
        <v>300</v>
      </c>
      <c r="Q47" s="976">
        <f>IF(P47&gt;299.9,$C47,IF(P47&gt;0,$C48,IF(P47=0,"0")))</f>
        <v>2</v>
      </c>
      <c r="R47" s="1105"/>
      <c r="S47" s="976" t="str">
        <f>IF(R47&gt;299.9,$C47,IF(R47&gt;0,$C48,IF(R47=0,"0")))</f>
        <v>0</v>
      </c>
      <c r="T47" s="1102">
        <v>300</v>
      </c>
      <c r="U47" s="976">
        <f>IF(T47&gt;299.9,$C47,IF(T47&gt;0,$C48,IF(T47=0,"0")))</f>
        <v>2</v>
      </c>
      <c r="W47" s="357"/>
      <c r="X47" s="357"/>
      <c r="Y47" s="357"/>
      <c r="Z47" s="131"/>
    </row>
    <row r="48" spans="1:26" x14ac:dyDescent="0.25">
      <c r="A48" s="205">
        <v>4</v>
      </c>
      <c r="B48" s="201" t="s">
        <v>508</v>
      </c>
      <c r="C48" s="115">
        <v>0</v>
      </c>
      <c r="D48" s="1129"/>
      <c r="E48" s="978"/>
      <c r="F48" s="1103"/>
      <c r="G48" s="978"/>
      <c r="H48" s="1129"/>
      <c r="I48" s="978"/>
      <c r="J48" s="978"/>
      <c r="K48" s="978"/>
      <c r="L48" s="1129"/>
      <c r="M48" s="978"/>
      <c r="N48" s="1110"/>
      <c r="O48" s="978"/>
      <c r="P48" s="1129"/>
      <c r="Q48" s="978"/>
      <c r="R48" s="1129"/>
      <c r="S48" s="978"/>
      <c r="T48" s="1103"/>
      <c r="U48" s="978"/>
      <c r="W48" s="357"/>
      <c r="X48" s="357"/>
      <c r="Y48" s="357"/>
      <c r="Z48" s="131"/>
    </row>
    <row r="49" spans="1:26" x14ac:dyDescent="0.25">
      <c r="A49" s="106" t="s">
        <v>510</v>
      </c>
      <c r="B49" s="193" t="s">
        <v>509</v>
      </c>
      <c r="C49" s="75">
        <v>2</v>
      </c>
      <c r="D49" s="1107"/>
      <c r="E49" s="979" t="str">
        <f>IF(D49&gt;3.9,$C49,IF(D49&gt;0,$C50,IF(D49=0,"0")))</f>
        <v>0</v>
      </c>
      <c r="F49" s="1127">
        <v>4</v>
      </c>
      <c r="G49" s="979">
        <f>IF(F49&gt;3.9,$C49,IF(F49&gt;0,$C50,IF(F49=0,"0")))</f>
        <v>2</v>
      </c>
      <c r="H49" s="1107"/>
      <c r="I49" s="979" t="str">
        <f>IF(H49&gt;3.9,$C49,IF(H49&gt;0,$C50,IF(H49=0,"0")))</f>
        <v>0</v>
      </c>
      <c r="J49" s="1107">
        <v>0</v>
      </c>
      <c r="K49" s="979" t="str">
        <f>IF(J49&gt;3.9,$C49,IF(J49&gt;0,$C50,IF(J49=0,"0")))</f>
        <v>0</v>
      </c>
      <c r="L49" s="1107"/>
      <c r="M49" s="979" t="str">
        <f>IF(L49&gt;3.9,$C49,IF(L49&gt;0,$C50,IF(L49=0,"0")))</f>
        <v>0</v>
      </c>
      <c r="N49" s="1107"/>
      <c r="O49" s="979" t="str">
        <f>IF(N49&gt;3.9,$C49,IF(N49&gt;0,$C50,IF(N49=0,"0")))</f>
        <v>0</v>
      </c>
      <c r="P49" s="1107"/>
      <c r="Q49" s="979" t="str">
        <f>IF(P49&gt;3.9,$C49,IF(P49&gt;0,$C50,IF(P49=0,"0")))</f>
        <v>0</v>
      </c>
      <c r="R49" s="1107"/>
      <c r="S49" s="979" t="str">
        <f>IF(R49&gt;3.9,$C49,IF(R49&gt;0,$C50,IF(R49=0,"0")))</f>
        <v>0</v>
      </c>
      <c r="T49" s="1107">
        <v>4</v>
      </c>
      <c r="U49" s="979">
        <f>IF(T49&gt;3.9,$C49,IF(T49&gt;0,$C50,IF(T49=0,"0")))</f>
        <v>2</v>
      </c>
      <c r="W49" s="357"/>
      <c r="X49" s="357"/>
      <c r="Y49" s="357"/>
      <c r="Z49" s="131"/>
    </row>
    <row r="50" spans="1:26" x14ac:dyDescent="0.25">
      <c r="A50" s="223">
        <v>4</v>
      </c>
      <c r="B50" s="237" t="s">
        <v>511</v>
      </c>
      <c r="C50" s="75">
        <v>0</v>
      </c>
      <c r="D50" s="1113"/>
      <c r="E50" s="981"/>
      <c r="F50" s="1128"/>
      <c r="G50" s="981"/>
      <c r="H50" s="1113"/>
      <c r="I50" s="981"/>
      <c r="J50" s="1113"/>
      <c r="K50" s="981"/>
      <c r="L50" s="1113"/>
      <c r="M50" s="981"/>
      <c r="N50" s="1113"/>
      <c r="O50" s="981"/>
      <c r="P50" s="1113"/>
      <c r="Q50" s="981"/>
      <c r="R50" s="1113"/>
      <c r="S50" s="981"/>
      <c r="T50" s="1113"/>
      <c r="U50" s="981"/>
      <c r="W50" s="357"/>
      <c r="X50" s="357"/>
      <c r="Y50" s="357"/>
      <c r="Z50" s="131"/>
    </row>
    <row r="51" spans="1:26" x14ac:dyDescent="0.25">
      <c r="A51" s="238" t="s">
        <v>512</v>
      </c>
      <c r="B51" s="207" t="s">
        <v>513</v>
      </c>
      <c r="C51" s="511">
        <v>2</v>
      </c>
      <c r="D51" s="1105">
        <v>350</v>
      </c>
      <c r="E51" s="976">
        <f>IF(D51&gt;249.9,$C51,IF(D51&gt;0,$C52,IF(D51=0,"0")))</f>
        <v>2</v>
      </c>
      <c r="F51" s="1105">
        <v>248</v>
      </c>
      <c r="G51" s="976">
        <f>IF(F51&gt;249.9,$C51,IF(F51&gt;0,$C52,IF(F51=0,"0")))</f>
        <v>0</v>
      </c>
      <c r="H51" s="1105"/>
      <c r="I51" s="976" t="str">
        <f>IF(H51&gt;249.9,$C51,IF(H51&gt;0,$C52,IF(H51=0,"0")))</f>
        <v>0</v>
      </c>
      <c r="J51" s="1105">
        <v>0</v>
      </c>
      <c r="K51" s="976" t="str">
        <f>IF(J51&gt;249.9,$C51,IF(J51&gt;0,$C52,IF(J51=0,"0")))</f>
        <v>0</v>
      </c>
      <c r="L51" s="1105"/>
      <c r="M51" s="976" t="str">
        <f>IF(L51&gt;249.9,$C51,IF(L51&gt;0,$C52,IF(L51=0,"0")))</f>
        <v>0</v>
      </c>
      <c r="N51" s="1105"/>
      <c r="O51" s="976" t="str">
        <f>IF(N51&gt;249.9,$C51,IF(N51&gt;0,$C52,IF(N51=0,"0")))</f>
        <v>0</v>
      </c>
      <c r="P51" s="1105"/>
      <c r="Q51" s="976" t="str">
        <f>IF(P51&gt;249.9,$C51,IF(P51&gt;0,$C52,IF(P51=0,"0")))</f>
        <v>0</v>
      </c>
      <c r="R51" s="1105"/>
      <c r="S51" s="976" t="str">
        <f>IF(R51&gt;249.9,$C51,IF(R51&gt;0,$C52,IF(R51=0,"0")))</f>
        <v>0</v>
      </c>
      <c r="T51" s="1105">
        <v>258</v>
      </c>
      <c r="U51" s="976">
        <f>IF(T51&gt;249.9,$C51,IF(T51&gt;0,$C52,IF(T51=0,"0")))</f>
        <v>2</v>
      </c>
      <c r="W51" s="357"/>
      <c r="X51" s="357"/>
      <c r="Y51" s="357"/>
      <c r="Z51" s="131"/>
    </row>
    <row r="52" spans="1:26" x14ac:dyDescent="0.25">
      <c r="A52" s="869">
        <v>4</v>
      </c>
      <c r="B52" s="244" t="s">
        <v>514</v>
      </c>
      <c r="C52" s="511">
        <v>0</v>
      </c>
      <c r="D52" s="1129"/>
      <c r="E52" s="978"/>
      <c r="F52" s="1129"/>
      <c r="G52" s="978"/>
      <c r="H52" s="1129"/>
      <c r="I52" s="978"/>
      <c r="J52" s="1129"/>
      <c r="K52" s="978"/>
      <c r="L52" s="1129"/>
      <c r="M52" s="978"/>
      <c r="N52" s="1129"/>
      <c r="O52" s="978"/>
      <c r="P52" s="1129"/>
      <c r="Q52" s="978"/>
      <c r="R52" s="1129"/>
      <c r="S52" s="978"/>
      <c r="T52" s="1129"/>
      <c r="U52" s="978"/>
      <c r="W52" s="357"/>
      <c r="X52" s="357"/>
      <c r="Y52" s="357"/>
      <c r="Z52" s="131"/>
    </row>
    <row r="53" spans="1:26" x14ac:dyDescent="0.25">
      <c r="A53" s="204" t="s">
        <v>515</v>
      </c>
      <c r="B53" s="193" t="s">
        <v>516</v>
      </c>
      <c r="C53" s="512">
        <v>2</v>
      </c>
      <c r="D53" s="1107"/>
      <c r="E53" s="979" t="str">
        <f>IF(D53&gt;19999.9,$C53,IF(D53&gt;0,$C54,IF(D53=0,"0")))</f>
        <v>0</v>
      </c>
      <c r="F53" s="1107"/>
      <c r="G53" s="979" t="str">
        <f>IF(F53&gt;19999.9,$C53,IF(F53&gt;0,$C54,IF(F53=0,"0")))</f>
        <v>0</v>
      </c>
      <c r="H53" s="1107"/>
      <c r="I53" s="979" t="str">
        <f>IF(H53&gt;19999.9,$C53,IF(H53&gt;0,$C54,IF(H53=0,"0")))</f>
        <v>0</v>
      </c>
      <c r="J53" s="1107">
        <v>0</v>
      </c>
      <c r="K53" s="979" t="str">
        <f>IF(J53&gt;19999.9,$C53,IF(J53&gt;0,$C54,IF(J53=0,"0")))</f>
        <v>0</v>
      </c>
      <c r="L53" s="1107"/>
      <c r="M53" s="979" t="str">
        <f>IF(L53&gt;19999.9,$C53,IF(L53&gt;0,$C54,IF(L53=0,"0")))</f>
        <v>0</v>
      </c>
      <c r="N53" s="1107"/>
      <c r="O53" s="979" t="str">
        <f>IF(N53&gt;19999.9,$C53,IF(N53&gt;0,$C54,IF(N53=0,"0")))</f>
        <v>0</v>
      </c>
      <c r="P53" s="1107"/>
      <c r="Q53" s="979" t="str">
        <f>IF(P53&gt;19999.9,$C53,IF(P53&gt;0,$C54,IF(P53=0,"0")))</f>
        <v>0</v>
      </c>
      <c r="R53" s="1107"/>
      <c r="S53" s="979" t="str">
        <f>IF(R53&gt;19999.9,$C53,IF(R53&gt;0,$C54,IF(R53=0,"0")))</f>
        <v>0</v>
      </c>
      <c r="T53" s="979">
        <v>20000</v>
      </c>
      <c r="U53" s="979">
        <f>IF(T53&gt;3.9,$C53,IF(T53&gt;0,$C54,IF(T53=0,"0")))</f>
        <v>2</v>
      </c>
      <c r="W53" s="357"/>
      <c r="X53" s="357"/>
      <c r="Y53" s="357"/>
      <c r="Z53" s="131"/>
    </row>
    <row r="54" spans="1:26" x14ac:dyDescent="0.25">
      <c r="A54" s="241">
        <v>3</v>
      </c>
      <c r="B54" s="237" t="s">
        <v>517</v>
      </c>
      <c r="C54" s="512">
        <v>0</v>
      </c>
      <c r="D54" s="1113"/>
      <c r="E54" s="981"/>
      <c r="F54" s="1113"/>
      <c r="G54" s="981"/>
      <c r="H54" s="1113"/>
      <c r="I54" s="981"/>
      <c r="J54" s="1113"/>
      <c r="K54" s="981"/>
      <c r="L54" s="1113"/>
      <c r="M54" s="981"/>
      <c r="N54" s="1113"/>
      <c r="O54" s="981"/>
      <c r="P54" s="1113"/>
      <c r="Q54" s="981"/>
      <c r="R54" s="1113"/>
      <c r="S54" s="981"/>
      <c r="T54" s="981"/>
      <c r="U54" s="981"/>
      <c r="W54" s="357"/>
      <c r="X54" s="357"/>
      <c r="Y54" s="357"/>
      <c r="Z54" s="131"/>
    </row>
    <row r="55" spans="1:26" x14ac:dyDescent="0.25">
      <c r="A55" s="238" t="s">
        <v>518</v>
      </c>
      <c r="B55" s="207" t="s">
        <v>509</v>
      </c>
      <c r="C55" s="511">
        <v>2</v>
      </c>
      <c r="D55" s="1105"/>
      <c r="E55" s="976" t="str">
        <f>IF(D55&gt;3.9,$C55,IF(D55&gt;0,$C56,IF(D55=0,"0")))</f>
        <v>0</v>
      </c>
      <c r="F55" s="1102">
        <v>4</v>
      </c>
      <c r="G55" s="976">
        <f>IF(F55&gt;3.9,$C55,IF(F55&gt;0,$C56,IF(F55=0,"0")))</f>
        <v>2</v>
      </c>
      <c r="H55" s="1105"/>
      <c r="I55" s="976" t="str">
        <f>IF(H55&gt;3.9,$C55,IF(H55&gt;0,$C56,IF(H55=0,"0")))</f>
        <v>0</v>
      </c>
      <c r="J55" s="1105">
        <v>0</v>
      </c>
      <c r="K55" s="976" t="str">
        <f>IF(J55&gt;3.9,$C55,IF(J55&gt;0,$C56,IF(J55=0,"0")))</f>
        <v>0</v>
      </c>
      <c r="L55" s="1105"/>
      <c r="M55" s="976" t="str">
        <f>IF(L55&gt;3.9,$C55,IF(L55&gt;0,$C56,IF(L55=0,"0")))</f>
        <v>0</v>
      </c>
      <c r="N55" s="1105"/>
      <c r="O55" s="976" t="str">
        <f>IF(N55&gt;3.9,$C55,IF(N55&gt;0,$C56,IF(N55=0,"0")))</f>
        <v>0</v>
      </c>
      <c r="P55" s="1105"/>
      <c r="Q55" s="976" t="str">
        <f>IF(P55&gt;3.9,$C55,IF(P55&gt;0,$C56,IF(P55=0,"0")))</f>
        <v>0</v>
      </c>
      <c r="R55" s="1105"/>
      <c r="S55" s="976" t="str">
        <f>IF(R55&gt;3.9,$C55,IF(R55&gt;0,$C56,IF(R55=0,"0")))</f>
        <v>0</v>
      </c>
      <c r="T55" s="1105">
        <v>5</v>
      </c>
      <c r="U55" s="976">
        <f>IF(T55&gt;3.9,$C55,IF(T55&gt;0,$C56,IF(T55=0,"0")))</f>
        <v>2</v>
      </c>
      <c r="W55" s="357"/>
      <c r="X55" s="357"/>
      <c r="Y55" s="357"/>
      <c r="Z55" s="131"/>
    </row>
    <row r="56" spans="1:26" x14ac:dyDescent="0.25">
      <c r="A56" s="893">
        <v>2</v>
      </c>
      <c r="B56" s="244" t="s">
        <v>511</v>
      </c>
      <c r="C56" s="511">
        <v>0</v>
      </c>
      <c r="D56" s="1129"/>
      <c r="E56" s="978"/>
      <c r="F56" s="1103"/>
      <c r="G56" s="978"/>
      <c r="H56" s="1129"/>
      <c r="I56" s="978"/>
      <c r="J56" s="1129"/>
      <c r="K56" s="978"/>
      <c r="L56" s="1129"/>
      <c r="M56" s="978"/>
      <c r="N56" s="1129"/>
      <c r="O56" s="978"/>
      <c r="P56" s="1129"/>
      <c r="Q56" s="978"/>
      <c r="R56" s="1129"/>
      <c r="S56" s="978"/>
      <c r="T56" s="1129"/>
      <c r="U56" s="978"/>
      <c r="W56" s="357"/>
      <c r="X56" s="357"/>
      <c r="Y56" s="357"/>
      <c r="Z56" s="131"/>
    </row>
    <row r="57" spans="1:26" x14ac:dyDescent="0.25">
      <c r="A57" s="204" t="s">
        <v>1063</v>
      </c>
      <c r="B57" s="193" t="s">
        <v>1064</v>
      </c>
      <c r="C57" s="512">
        <f>A58</f>
        <v>4</v>
      </c>
      <c r="D57" s="222" t="s">
        <v>108</v>
      </c>
      <c r="E57" s="624">
        <f>IF(D57="S",$C57,)</f>
        <v>4</v>
      </c>
      <c r="F57" s="222"/>
      <c r="G57" s="624">
        <f>IF(F57="S",$C57,)</f>
        <v>0</v>
      </c>
      <c r="H57" s="222"/>
      <c r="I57" s="624">
        <f>IF(H57="S",$C57,)</f>
        <v>0</v>
      </c>
      <c r="J57" s="222"/>
      <c r="K57" s="624">
        <f>IF(J57="S",$C57,)</f>
        <v>0</v>
      </c>
      <c r="L57" s="222"/>
      <c r="M57" s="624">
        <f>IF(L57="S",$C57,)</f>
        <v>0</v>
      </c>
      <c r="N57" s="222" t="s">
        <v>108</v>
      </c>
      <c r="O57" s="624">
        <f>IF(N57="S",$C57,)</f>
        <v>4</v>
      </c>
      <c r="P57" s="222"/>
      <c r="Q57" s="624">
        <f>IF(P57="S",$C57,)</f>
        <v>0</v>
      </c>
      <c r="R57" s="222"/>
      <c r="S57" s="624">
        <f>IF(R57="S",$C57,)</f>
        <v>0</v>
      </c>
      <c r="T57" s="222"/>
      <c r="U57" s="624">
        <f>IF(T57="S",$C57,)</f>
        <v>0</v>
      </c>
      <c r="W57" s="357"/>
      <c r="X57" s="96"/>
      <c r="Y57" s="96"/>
      <c r="Z57" s="131"/>
    </row>
    <row r="58" spans="1:26" x14ac:dyDescent="0.25">
      <c r="A58" s="240">
        <v>4</v>
      </c>
      <c r="B58" s="193" t="s">
        <v>1065</v>
      </c>
      <c r="C58" s="512">
        <v>1</v>
      </c>
      <c r="D58" s="222"/>
      <c r="E58" s="624">
        <f>IF(D58="S",$C58,)</f>
        <v>0</v>
      </c>
      <c r="F58" s="222" t="s">
        <v>108</v>
      </c>
      <c r="G58" s="624">
        <f>IF(F58="S",$C58,)</f>
        <v>1</v>
      </c>
      <c r="H58" s="222"/>
      <c r="I58" s="624">
        <f>IF(H58="S",$C58,)</f>
        <v>0</v>
      </c>
      <c r="J58" s="222"/>
      <c r="K58" s="624">
        <f>IF(J58="S",$C58,)</f>
        <v>0</v>
      </c>
      <c r="L58" s="222"/>
      <c r="M58" s="624">
        <f>IF(L58="S",$C58,)</f>
        <v>0</v>
      </c>
      <c r="N58" s="222"/>
      <c r="O58" s="624">
        <f>IF(N58="S",$C58,)</f>
        <v>0</v>
      </c>
      <c r="P58" s="222"/>
      <c r="Q58" s="624">
        <f>IF(P58="S",$C58,)</f>
        <v>0</v>
      </c>
      <c r="R58" s="222"/>
      <c r="S58" s="624">
        <f>IF(R58="S",$C58,)</f>
        <v>0</v>
      </c>
      <c r="T58" s="222"/>
      <c r="U58" s="624">
        <f>IF(T58="S",$C58,)</f>
        <v>0</v>
      </c>
      <c r="W58" s="357"/>
      <c r="X58"/>
      <c r="Y58" s="96"/>
      <c r="Z58" s="131"/>
    </row>
    <row r="59" spans="1:26" x14ac:dyDescent="0.25">
      <c r="A59" s="868"/>
      <c r="B59" s="193" t="s">
        <v>881</v>
      </c>
      <c r="C59" s="512">
        <v>0</v>
      </c>
      <c r="D59" s="222"/>
      <c r="E59" s="624">
        <f>IF(D59="S",$C59,)</f>
        <v>0</v>
      </c>
      <c r="F59" s="222"/>
      <c r="G59" s="624">
        <f>IF(F59="S",$C59,)</f>
        <v>0</v>
      </c>
      <c r="H59" s="222" t="s">
        <v>108</v>
      </c>
      <c r="I59" s="624">
        <f>IF(H59="S",$C59,)</f>
        <v>0</v>
      </c>
      <c r="J59" s="222" t="s">
        <v>108</v>
      </c>
      <c r="K59" s="624">
        <f>IF(J59="S",$C59,)</f>
        <v>0</v>
      </c>
      <c r="L59" s="222" t="s">
        <v>108</v>
      </c>
      <c r="M59" s="624">
        <f>IF(L59="S",$C59,)</f>
        <v>0</v>
      </c>
      <c r="N59" s="222"/>
      <c r="O59" s="624">
        <f>IF(N59="S",$C59,)</f>
        <v>0</v>
      </c>
      <c r="P59" s="222" t="s">
        <v>108</v>
      </c>
      <c r="Q59" s="624">
        <f>IF(P59="S",$C59,)</f>
        <v>0</v>
      </c>
      <c r="R59" s="222" t="s">
        <v>108</v>
      </c>
      <c r="S59" s="624">
        <f>IF(R59="S",$C59,)</f>
        <v>0</v>
      </c>
      <c r="T59" s="222" t="s">
        <v>108</v>
      </c>
      <c r="U59" s="624">
        <f>IF(T59="S",$C59,)</f>
        <v>0</v>
      </c>
      <c r="W59" s="357"/>
      <c r="X59" s="96"/>
      <c r="Y59" s="96"/>
      <c r="Z59" s="131"/>
    </row>
    <row r="60" spans="1:26" x14ac:dyDescent="0.25">
      <c r="A60" s="238" t="s">
        <v>1066</v>
      </c>
      <c r="B60" s="894" t="s">
        <v>1067</v>
      </c>
      <c r="C60" s="511">
        <v>2</v>
      </c>
      <c r="D60" s="1102">
        <v>0</v>
      </c>
      <c r="E60" s="976" t="str">
        <f>IF(D60&gt;49.9,$C60,IF(D60&gt;34.9,$C61,IF(D60&gt;0,$C62,IF(D60=0,"0"))))</f>
        <v>0</v>
      </c>
      <c r="F60" s="1102">
        <v>50</v>
      </c>
      <c r="G60" s="976">
        <f>IF(F60&gt;49.9,$C60,IF(F60&gt;34.9,$C61,IF(F60&gt;0,$C62,IF(F60=0,"0"))))</f>
        <v>2</v>
      </c>
      <c r="H60" s="1102">
        <v>0</v>
      </c>
      <c r="I60" s="976" t="str">
        <f>IF(H60&gt;49.9,$C60,IF(H60&gt;34.9,$C61,IF(H60&gt;0,$C62,IF(H60=0,"0"))))</f>
        <v>0</v>
      </c>
      <c r="J60" s="1102">
        <v>0</v>
      </c>
      <c r="K60" s="976" t="str">
        <f>IF(J60&gt;49.9,$C60,IF(J60&gt;34.9,$C61,IF(J60&gt;0,$C62,IF(J60=0,"0"))))</f>
        <v>0</v>
      </c>
      <c r="L60" s="1102">
        <v>0</v>
      </c>
      <c r="M60" s="976" t="str">
        <f>IF(L60&gt;49.9,$C60,IF(L60&gt;34.9,$C61,IF(L60&gt;0,$C62,IF(L60=0,"0"))))</f>
        <v>0</v>
      </c>
      <c r="N60" s="1102">
        <v>35</v>
      </c>
      <c r="O60" s="976">
        <f>IF(N60&gt;49.9,$C60,IF(N60&gt;34.9,$C61,IF(N60&gt;0,$C62,IF(N60=0,"0"))))</f>
        <v>1</v>
      </c>
      <c r="P60" s="1102">
        <v>0</v>
      </c>
      <c r="Q60" s="976" t="str">
        <f>IF(P60&gt;49.9,$C60,IF(P60&gt;34.9,$C61,IF(P60&gt;0,$C62,IF(P60=0,"0"))))</f>
        <v>0</v>
      </c>
      <c r="R60" s="1102">
        <v>0</v>
      </c>
      <c r="S60" s="976" t="str">
        <f>IF(R60&gt;49.9,$C60,IF(R60&gt;34.9,$C61,IF(R60&gt;0,$C62,IF(R60=0,"0"))))</f>
        <v>0</v>
      </c>
      <c r="T60" s="1102">
        <v>0</v>
      </c>
      <c r="U60" s="976" t="str">
        <f>IF(T60&gt;49.9,$C60,IF(T60&gt;34.9,$C61,IF(T60&gt;0,$C62,IF(T60=0,"0"))))</f>
        <v>0</v>
      </c>
      <c r="Z60" s="131"/>
    </row>
    <row r="61" spans="1:26" x14ac:dyDescent="0.25">
      <c r="A61" s="243" t="s">
        <v>340</v>
      </c>
      <c r="B61" s="207" t="s">
        <v>1068</v>
      </c>
      <c r="C61" s="511">
        <v>1</v>
      </c>
      <c r="D61" s="1103"/>
      <c r="E61" s="977"/>
      <c r="F61" s="1103"/>
      <c r="G61" s="977"/>
      <c r="H61" s="1103"/>
      <c r="I61" s="977"/>
      <c r="J61" s="1103"/>
      <c r="K61" s="977"/>
      <c r="L61" s="1103"/>
      <c r="M61" s="977"/>
      <c r="N61" s="1103"/>
      <c r="O61" s="977"/>
      <c r="P61" s="1103"/>
      <c r="Q61" s="977"/>
      <c r="R61" s="1103"/>
      <c r="S61" s="977"/>
      <c r="T61" s="1103"/>
      <c r="U61" s="977"/>
    </row>
    <row r="62" spans="1:26" x14ac:dyDescent="0.25">
      <c r="A62" s="406">
        <v>4</v>
      </c>
      <c r="B62" s="895" t="s">
        <v>1069</v>
      </c>
      <c r="C62" s="511">
        <v>0</v>
      </c>
      <c r="D62" s="1104"/>
      <c r="E62" s="978"/>
      <c r="F62" s="1104"/>
      <c r="G62" s="978"/>
      <c r="H62" s="1104"/>
      <c r="I62" s="978"/>
      <c r="J62" s="1104"/>
      <c r="K62" s="978"/>
      <c r="L62" s="1104"/>
      <c r="M62" s="978"/>
      <c r="N62" s="1104"/>
      <c r="O62" s="978"/>
      <c r="P62" s="1104"/>
      <c r="Q62" s="978"/>
      <c r="R62" s="1104"/>
      <c r="S62" s="978"/>
      <c r="T62" s="1104"/>
      <c r="U62" s="978"/>
      <c r="Z62" s="131"/>
    </row>
    <row r="63" spans="1:26" x14ac:dyDescent="0.25">
      <c r="A63" s="635" t="s">
        <v>50</v>
      </c>
      <c r="B63" s="896">
        <f>SUM(A36:A62)</f>
        <v>45</v>
      </c>
      <c r="C63" s="635"/>
      <c r="D63" s="892"/>
      <c r="E63" s="892">
        <f>SUM(E35:E62)</f>
        <v>6</v>
      </c>
      <c r="F63" s="635"/>
      <c r="G63" s="892">
        <f>SUM(G35:G62)</f>
        <v>15</v>
      </c>
      <c r="H63" s="635"/>
      <c r="I63" s="892">
        <f>SUM(I35:I62)</f>
        <v>12</v>
      </c>
      <c r="J63" s="635"/>
      <c r="K63" s="892">
        <f>SUM(K35:K62)</f>
        <v>0</v>
      </c>
      <c r="L63" s="635"/>
      <c r="M63" s="892">
        <f>SUM(M35:M62)</f>
        <v>0</v>
      </c>
      <c r="N63" s="635"/>
      <c r="O63" s="892">
        <f>SUM(O35:O62)</f>
        <v>15</v>
      </c>
      <c r="P63" s="635"/>
      <c r="Q63" s="892">
        <f>SUM(Q35:Q62)</f>
        <v>12</v>
      </c>
      <c r="R63" s="635"/>
      <c r="S63" s="892">
        <f>SUM(S35:S62)</f>
        <v>0</v>
      </c>
      <c r="T63" s="635"/>
      <c r="U63" s="892">
        <f>SUM(U35:U62)</f>
        <v>22</v>
      </c>
    </row>
    <row r="66" spans="1:5" x14ac:dyDescent="0.25">
      <c r="A66" s="112"/>
      <c r="B66" s="112"/>
      <c r="C66" s="112"/>
      <c r="D66" s="88"/>
      <c r="E66" s="112"/>
    </row>
    <row r="67" spans="1:5" ht="14.4" hidden="1" x14ac:dyDescent="0.3">
      <c r="A67" s="917"/>
      <c r="B67" s="917"/>
      <c r="C67" s="917"/>
      <c r="D67" s="917"/>
      <c r="E67" s="917"/>
    </row>
    <row r="68" spans="1:5" hidden="1" x14ac:dyDescent="0.25"/>
    <row r="69" spans="1:5" ht="14.4" hidden="1" x14ac:dyDescent="0.3">
      <c r="A69" s="118" t="s">
        <v>209</v>
      </c>
      <c r="B69" s="118" t="s">
        <v>784</v>
      </c>
      <c r="E69" s="917" t="s">
        <v>210</v>
      </c>
    </row>
    <row r="70" spans="1:5" hidden="1" x14ac:dyDescent="0.25">
      <c r="E70" s="918"/>
    </row>
    <row r="71" spans="1:5" hidden="1" x14ac:dyDescent="0.25">
      <c r="E71" s="918"/>
    </row>
    <row r="72" spans="1:5" hidden="1" x14ac:dyDescent="0.25">
      <c r="E72" s="918"/>
    </row>
    <row r="73" spans="1:5" hidden="1" x14ac:dyDescent="0.25">
      <c r="E73" s="918"/>
    </row>
    <row r="74" spans="1:5" ht="14.4" hidden="1" x14ac:dyDescent="0.3">
      <c r="A74" s="118" t="s">
        <v>785</v>
      </c>
      <c r="B74" s="118" t="s">
        <v>786</v>
      </c>
      <c r="E74" s="917" t="s">
        <v>787</v>
      </c>
    </row>
    <row r="75" spans="1:5" hidden="1" x14ac:dyDescent="0.25"/>
    <row r="76" spans="1:5" hidden="1" x14ac:dyDescent="0.25"/>
  </sheetData>
  <mergeCells count="368">
    <mergeCell ref="T55:T56"/>
    <mergeCell ref="D55:D56"/>
    <mergeCell ref="E55:E56"/>
    <mergeCell ref="F55:F56"/>
    <mergeCell ref="H55:H56"/>
    <mergeCell ref="J55:J56"/>
    <mergeCell ref="L55:L56"/>
    <mergeCell ref="N55:N56"/>
    <mergeCell ref="P55:P56"/>
    <mergeCell ref="R55:R56"/>
    <mergeCell ref="Q55:Q56"/>
    <mergeCell ref="S55:S56"/>
    <mergeCell ref="G55:G56"/>
    <mergeCell ref="I55:I56"/>
    <mergeCell ref="K55:K56"/>
    <mergeCell ref="M55:M56"/>
    <mergeCell ref="O55:O56"/>
    <mergeCell ref="G53:G54"/>
    <mergeCell ref="I53:I54"/>
    <mergeCell ref="K53:K54"/>
    <mergeCell ref="M53:M54"/>
    <mergeCell ref="D53:D54"/>
    <mergeCell ref="F53:F54"/>
    <mergeCell ref="H53:H54"/>
    <mergeCell ref="J53:J54"/>
    <mergeCell ref="L53:L54"/>
    <mergeCell ref="T47:T48"/>
    <mergeCell ref="H47:H48"/>
    <mergeCell ref="F47:F48"/>
    <mergeCell ref="I39:I40"/>
    <mergeCell ref="J39:J40"/>
    <mergeCell ref="K39:K40"/>
    <mergeCell ref="D51:D52"/>
    <mergeCell ref="F51:F52"/>
    <mergeCell ref="H51:H52"/>
    <mergeCell ref="J51:J52"/>
    <mergeCell ref="L51:L52"/>
    <mergeCell ref="N51:N52"/>
    <mergeCell ref="D39:D40"/>
    <mergeCell ref="D41:D42"/>
    <mergeCell ref="D45:D46"/>
    <mergeCell ref="D47:D48"/>
    <mergeCell ref="O49:O50"/>
    <mergeCell ref="Q49:Q50"/>
    <mergeCell ref="S49:S50"/>
    <mergeCell ref="E49:E50"/>
    <mergeCell ref="D49:D50"/>
    <mergeCell ref="M47:M48"/>
    <mergeCell ref="N47:N48"/>
    <mergeCell ref="O47:O48"/>
    <mergeCell ref="G51:G52"/>
    <mergeCell ref="I51:I52"/>
    <mergeCell ref="K51:K52"/>
    <mergeCell ref="M51:M52"/>
    <mergeCell ref="O51:O52"/>
    <mergeCell ref="Q51:Q52"/>
    <mergeCell ref="S51:S52"/>
    <mergeCell ref="U51:U52"/>
    <mergeCell ref="G49:G50"/>
    <mergeCell ref="I49:I50"/>
    <mergeCell ref="U45:U46"/>
    <mergeCell ref="G47:G48"/>
    <mergeCell ref="P51:P52"/>
    <mergeCell ref="R51:R52"/>
    <mergeCell ref="P47:P48"/>
    <mergeCell ref="R45:R46"/>
    <mergeCell ref="S45:S46"/>
    <mergeCell ref="T45:T46"/>
    <mergeCell ref="Q47:Q48"/>
    <mergeCell ref="R47:R48"/>
    <mergeCell ref="S47:S48"/>
    <mergeCell ref="U47:U48"/>
    <mergeCell ref="I45:I46"/>
    <mergeCell ref="J45:J46"/>
    <mergeCell ref="L45:L46"/>
    <mergeCell ref="M45:M46"/>
    <mergeCell ref="N45:N46"/>
    <mergeCell ref="O45:O46"/>
    <mergeCell ref="P45:P46"/>
    <mergeCell ref="Q45:Q46"/>
    <mergeCell ref="I47:I48"/>
    <mergeCell ref="J47:J48"/>
    <mergeCell ref="K47:K48"/>
    <mergeCell ref="L47:L48"/>
    <mergeCell ref="U53:U54"/>
    <mergeCell ref="T51:T52"/>
    <mergeCell ref="J49:J50"/>
    <mergeCell ref="L49:L50"/>
    <mergeCell ref="N49:N50"/>
    <mergeCell ref="P49:P50"/>
    <mergeCell ref="R49:R50"/>
    <mergeCell ref="K49:K50"/>
    <mergeCell ref="M49:M50"/>
    <mergeCell ref="T49:T50"/>
    <mergeCell ref="U49:U50"/>
    <mergeCell ref="P53:P54"/>
    <mergeCell ref="R53:R54"/>
    <mergeCell ref="T53:T54"/>
    <mergeCell ref="O53:O54"/>
    <mergeCell ref="Q53:Q54"/>
    <mergeCell ref="S53:S54"/>
    <mergeCell ref="N53:N54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S43:S44"/>
    <mergeCell ref="G43:G44"/>
    <mergeCell ref="I43:I44"/>
    <mergeCell ref="K43:K44"/>
    <mergeCell ref="U35:U36"/>
    <mergeCell ref="O37:O38"/>
    <mergeCell ref="Q37:Q38"/>
    <mergeCell ref="S37:S38"/>
    <mergeCell ref="U37:U38"/>
    <mergeCell ref="O39:O40"/>
    <mergeCell ref="P39:P40"/>
    <mergeCell ref="Q39:Q40"/>
    <mergeCell ref="R39:R40"/>
    <mergeCell ref="S39:S40"/>
    <mergeCell ref="T39:T40"/>
    <mergeCell ref="M43:M44"/>
    <mergeCell ref="S41:S42"/>
    <mergeCell ref="S35:S36"/>
    <mergeCell ref="L39:L40"/>
    <mergeCell ref="M39:M40"/>
    <mergeCell ref="N39:N40"/>
    <mergeCell ref="K45:K46"/>
    <mergeCell ref="G35:G36"/>
    <mergeCell ref="I35:I36"/>
    <mergeCell ref="K35:K36"/>
    <mergeCell ref="M35:M36"/>
    <mergeCell ref="M37:M38"/>
    <mergeCell ref="P41:P42"/>
    <mergeCell ref="Q41:Q42"/>
    <mergeCell ref="R41:R42"/>
    <mergeCell ref="G37:G38"/>
    <mergeCell ref="I37:I38"/>
    <mergeCell ref="K37:K38"/>
    <mergeCell ref="O41:O42"/>
    <mergeCell ref="O35:O36"/>
    <mergeCell ref="Q35:Q36"/>
    <mergeCell ref="O43:O44"/>
    <mergeCell ref="Q43:Q44"/>
    <mergeCell ref="T33:U33"/>
    <mergeCell ref="S25:S26"/>
    <mergeCell ref="U25:U26"/>
    <mergeCell ref="N34:O34"/>
    <mergeCell ref="P34:Q34"/>
    <mergeCell ref="R34:S34"/>
    <mergeCell ref="T34:U34"/>
    <mergeCell ref="D34:E34"/>
    <mergeCell ref="F34:G34"/>
    <mergeCell ref="H34:I34"/>
    <mergeCell ref="J34:K34"/>
    <mergeCell ref="L34:M34"/>
    <mergeCell ref="T27:T28"/>
    <mergeCell ref="U27:U28"/>
    <mergeCell ref="H27:H28"/>
    <mergeCell ref="I27:I28"/>
    <mergeCell ref="J27:J28"/>
    <mergeCell ref="K27:K28"/>
    <mergeCell ref="L27:L28"/>
    <mergeCell ref="M27:M28"/>
    <mergeCell ref="N27:N28"/>
    <mergeCell ref="S16:S18"/>
    <mergeCell ref="S22:S24"/>
    <mergeCell ref="M14:M15"/>
    <mergeCell ref="J12:J13"/>
    <mergeCell ref="J14:J15"/>
    <mergeCell ref="L14:L15"/>
    <mergeCell ref="N14:N15"/>
    <mergeCell ref="F33:G33"/>
    <mergeCell ref="H33:I33"/>
    <mergeCell ref="J33:K33"/>
    <mergeCell ref="L33:M33"/>
    <mergeCell ref="N33:O33"/>
    <mergeCell ref="P33:Q33"/>
    <mergeCell ref="R33:S33"/>
    <mergeCell ref="O25:O26"/>
    <mergeCell ref="K25:K26"/>
    <mergeCell ref="G25:G26"/>
    <mergeCell ref="O27:O28"/>
    <mergeCell ref="P27:P28"/>
    <mergeCell ref="Q27:Q28"/>
    <mergeCell ref="R27:R28"/>
    <mergeCell ref="S27:S28"/>
    <mergeCell ref="F27:F28"/>
    <mergeCell ref="G27:G28"/>
    <mergeCell ref="Q4:Q6"/>
    <mergeCell ref="Q7:Q9"/>
    <mergeCell ref="Q16:Q18"/>
    <mergeCell ref="Q22:Q24"/>
    <mergeCell ref="Q25:Q26"/>
    <mergeCell ref="O16:O18"/>
    <mergeCell ref="O22:O24"/>
    <mergeCell ref="O12:O13"/>
    <mergeCell ref="O14:O15"/>
    <mergeCell ref="P12:P13"/>
    <mergeCell ref="P14:P15"/>
    <mergeCell ref="P7:P9"/>
    <mergeCell ref="P4:P6"/>
    <mergeCell ref="O10:O11"/>
    <mergeCell ref="Q10:Q11"/>
    <mergeCell ref="M4:M6"/>
    <mergeCell ref="M7:M9"/>
    <mergeCell ref="M16:M18"/>
    <mergeCell ref="M22:M24"/>
    <mergeCell ref="M25:M26"/>
    <mergeCell ref="K16:K18"/>
    <mergeCell ref="K22:K24"/>
    <mergeCell ref="L4:L6"/>
    <mergeCell ref="K12:K13"/>
    <mergeCell ref="K14:K15"/>
    <mergeCell ref="L7:L9"/>
    <mergeCell ref="M12:M13"/>
    <mergeCell ref="L12:L13"/>
    <mergeCell ref="K10:K11"/>
    <mergeCell ref="M10:M11"/>
    <mergeCell ref="E39:E40"/>
    <mergeCell ref="E37:E38"/>
    <mergeCell ref="E41:E42"/>
    <mergeCell ref="D27:D28"/>
    <mergeCell ref="E27:E28"/>
    <mergeCell ref="E45:E46"/>
    <mergeCell ref="D60:D62"/>
    <mergeCell ref="E47:E48"/>
    <mergeCell ref="I4:I6"/>
    <mergeCell ref="I7:I9"/>
    <mergeCell ref="I16:I18"/>
    <mergeCell ref="I22:I24"/>
    <mergeCell ref="I25:I26"/>
    <mergeCell ref="G16:G18"/>
    <mergeCell ref="G22:G24"/>
    <mergeCell ref="G12:G13"/>
    <mergeCell ref="G14:G15"/>
    <mergeCell ref="I12:I13"/>
    <mergeCell ref="I14:I15"/>
    <mergeCell ref="H7:H9"/>
    <mergeCell ref="H4:H6"/>
    <mergeCell ref="I10:I11"/>
    <mergeCell ref="F49:F50"/>
    <mergeCell ref="H49:H50"/>
    <mergeCell ref="F2:G2"/>
    <mergeCell ref="H2:I2"/>
    <mergeCell ref="J2:K2"/>
    <mergeCell ref="E7:E9"/>
    <mergeCell ref="J3:K3"/>
    <mergeCell ref="L3:M3"/>
    <mergeCell ref="N3:O3"/>
    <mergeCell ref="P3:Q3"/>
    <mergeCell ref="H3:I3"/>
    <mergeCell ref="F3:G3"/>
    <mergeCell ref="L2:M2"/>
    <mergeCell ref="N2:O2"/>
    <mergeCell ref="P2:Q2"/>
    <mergeCell ref="D2:E2"/>
    <mergeCell ref="E4:E6"/>
    <mergeCell ref="D7:D9"/>
    <mergeCell ref="G4:G6"/>
    <mergeCell ref="G7:G9"/>
    <mergeCell ref="K4:K6"/>
    <mergeCell ref="F7:F9"/>
    <mergeCell ref="J7:J9"/>
    <mergeCell ref="N7:N9"/>
    <mergeCell ref="F4:F6"/>
    <mergeCell ref="J4:J6"/>
    <mergeCell ref="S7:S9"/>
    <mergeCell ref="Q12:Q13"/>
    <mergeCell ref="Q14:Q15"/>
    <mergeCell ref="T12:T13"/>
    <mergeCell ref="T14:T15"/>
    <mergeCell ref="D3:E3"/>
    <mergeCell ref="D4:D6"/>
    <mergeCell ref="F22:F24"/>
    <mergeCell ref="H22:H24"/>
    <mergeCell ref="J22:J24"/>
    <mergeCell ref="P22:P24"/>
    <mergeCell ref="N22:N24"/>
    <mergeCell ref="L22:L24"/>
    <mergeCell ref="K7:K9"/>
    <mergeCell ref="O4:O6"/>
    <mergeCell ref="O7:O9"/>
    <mergeCell ref="E12:E13"/>
    <mergeCell ref="E14:E15"/>
    <mergeCell ref="R4:R6"/>
    <mergeCell ref="T4:T6"/>
    <mergeCell ref="R7:R9"/>
    <mergeCell ref="T7:T9"/>
    <mergeCell ref="N4:N6"/>
    <mergeCell ref="N12:N13"/>
    <mergeCell ref="U55:U56"/>
    <mergeCell ref="R22:R24"/>
    <mergeCell ref="T22:T24"/>
    <mergeCell ref="T2:U2"/>
    <mergeCell ref="R3:S3"/>
    <mergeCell ref="T3:U3"/>
    <mergeCell ref="R2:S2"/>
    <mergeCell ref="U16:U18"/>
    <mergeCell ref="U22:U24"/>
    <mergeCell ref="T41:T42"/>
    <mergeCell ref="U41:U42"/>
    <mergeCell ref="U43:U44"/>
    <mergeCell ref="U39:U40"/>
    <mergeCell ref="S12:S13"/>
    <mergeCell ref="S14:S15"/>
    <mergeCell ref="U12:U13"/>
    <mergeCell ref="U14:U15"/>
    <mergeCell ref="R12:R13"/>
    <mergeCell ref="R14:R15"/>
    <mergeCell ref="U4:U6"/>
    <mergeCell ref="U7:U9"/>
    <mergeCell ref="S4:S6"/>
    <mergeCell ref="S10:S11"/>
    <mergeCell ref="U10:U11"/>
    <mergeCell ref="J10:J11"/>
    <mergeCell ref="L10:L11"/>
    <mergeCell ref="N10:N11"/>
    <mergeCell ref="P10:P11"/>
    <mergeCell ref="R10:R11"/>
    <mergeCell ref="T10:T11"/>
    <mergeCell ref="D10:D11"/>
    <mergeCell ref="F10:F11"/>
    <mergeCell ref="D12:D13"/>
    <mergeCell ref="D14:D15"/>
    <mergeCell ref="F12:F13"/>
    <mergeCell ref="F14:F15"/>
    <mergeCell ref="H10:H11"/>
    <mergeCell ref="H12:H13"/>
    <mergeCell ref="H14:H15"/>
    <mergeCell ref="E10:E11"/>
    <mergeCell ref="G10:G11"/>
    <mergeCell ref="G60:G62"/>
    <mergeCell ref="E60:E62"/>
    <mergeCell ref="F39:F40"/>
    <mergeCell ref="G39:G40"/>
    <mergeCell ref="H39:H40"/>
    <mergeCell ref="F45:F46"/>
    <mergeCell ref="G45:G46"/>
    <mergeCell ref="H45:H46"/>
    <mergeCell ref="E22:E24"/>
    <mergeCell ref="E51:E52"/>
    <mergeCell ref="E53:E54"/>
    <mergeCell ref="E16:E18"/>
    <mergeCell ref="D33:E33"/>
    <mergeCell ref="D22:D24"/>
    <mergeCell ref="E35:E36"/>
    <mergeCell ref="E25:E26"/>
    <mergeCell ref="I60:I62"/>
    <mergeCell ref="K60:K62"/>
    <mergeCell ref="M60:M62"/>
    <mergeCell ref="O60:O62"/>
    <mergeCell ref="Q60:Q62"/>
    <mergeCell ref="S60:S62"/>
    <mergeCell ref="U60:U62"/>
    <mergeCell ref="N60:N62"/>
    <mergeCell ref="F60:F62"/>
    <mergeCell ref="H60:H62"/>
    <mergeCell ref="J60:J62"/>
    <mergeCell ref="L60:L62"/>
    <mergeCell ref="P60:P62"/>
    <mergeCell ref="R60:R62"/>
    <mergeCell ref="T60:T62"/>
  </mergeCells>
  <pageMargins left="0.78740157480314965" right="0.78740157480314965" top="1.5748031496062993" bottom="0.78740157480314965" header="0.78740157480314965" footer="0.78740157480314965"/>
  <pageSetup paperSize="9" scale="53" fitToHeight="12" orientation="landscape" horizontalDpi="300" verticalDpi="300" r:id="rId1"/>
  <headerFooter alignWithMargins="0">
    <oddHeader>&amp;L&amp;"Arial,Negrita"&amp;12ANEXO I&amp;C&amp;11Lote 6: Cortinaje&amp;RPágina &amp;P de &amp;N</oddHeader>
  </headerFooter>
  <rowBreaks count="1" manualBreakCount="1">
    <brk id="31" max="16383" man="1"/>
  </rowBreaks>
  <ignoredErrors>
    <ignoredError sqref="E4 E49 T22 N4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66"/>
  <sheetViews>
    <sheetView topLeftCell="A10" workbookViewId="0">
      <selection activeCell="B56" sqref="B56"/>
    </sheetView>
  </sheetViews>
  <sheetFormatPr baseColWidth="10" defaultRowHeight="13.2" x14ac:dyDescent="0.25"/>
  <cols>
    <col min="1" max="1" width="37.6640625" customWidth="1"/>
    <col min="2" max="2" width="19" bestFit="1" customWidth="1"/>
  </cols>
  <sheetData>
    <row r="6" spans="1:2" x14ac:dyDescent="0.25">
      <c r="A6" s="30" t="str">
        <f>Empresas!A1</f>
        <v>EXPEDIENTE Nº 495/11</v>
      </c>
    </row>
    <row r="8" spans="1:2" x14ac:dyDescent="0.25">
      <c r="A8" s="1131" t="str">
        <f>Empresas!A2</f>
        <v>SUMINISTRO  E INSTALACIÓN DE DIVERSO EQUIPAMIENTO PARA EL EDIFICIO DE GOBIERNO</v>
      </c>
      <c r="B8" s="1131"/>
    </row>
    <row r="9" spans="1:2" x14ac:dyDescent="0.25">
      <c r="A9" s="1131"/>
      <c r="B9" s="1131"/>
    </row>
    <row r="10" spans="1:2" x14ac:dyDescent="0.25">
      <c r="A10" s="84"/>
      <c r="B10" s="84"/>
    </row>
    <row r="11" spans="1:2" x14ac:dyDescent="0.25">
      <c r="A11" s="30" t="str">
        <f>Empresas!A12</f>
        <v>LOTE 1: BUTACAS SALON DE ACTOS</v>
      </c>
    </row>
    <row r="12" spans="1:2" x14ac:dyDescent="0.25">
      <c r="B12" s="131"/>
    </row>
    <row r="13" spans="1:2" x14ac:dyDescent="0.25">
      <c r="A13" s="132" t="str">
        <f>Empresas!A14</f>
        <v>Empresa</v>
      </c>
      <c r="B13" s="133" t="str">
        <f>Empresas!G15</f>
        <v>Puntuación Sobre 2</v>
      </c>
    </row>
    <row r="14" spans="1:2" x14ac:dyDescent="0.25">
      <c r="A14" s="13" t="str">
        <f>Empresas!A18</f>
        <v>EURO SEATING INTERNATIONAL, S.A.</v>
      </c>
      <c r="B14" s="19" t="e">
        <f>Empresas!#REF!</f>
        <v>#REF!</v>
      </c>
    </row>
    <row r="16" spans="1:2" x14ac:dyDescent="0.25">
      <c r="A16" s="30" t="str">
        <f>Empresas!A26</f>
        <v>LOTE 2: SILLERÍA</v>
      </c>
      <c r="B16" s="14"/>
    </row>
    <row r="17" spans="1:2" x14ac:dyDescent="0.25">
      <c r="B17" s="14"/>
    </row>
    <row r="18" spans="1:2" x14ac:dyDescent="0.25">
      <c r="A18" s="132" t="str">
        <f>Empresas!A28</f>
        <v>Empresa</v>
      </c>
      <c r="B18" s="133" t="str">
        <f>Empresas!G29</f>
        <v>Puntuación Sobre 2</v>
      </c>
    </row>
    <row r="19" spans="1:2" x14ac:dyDescent="0.25">
      <c r="A19" s="13" t="e">
        <f>Empresas!#REF!</f>
        <v>#REF!</v>
      </c>
      <c r="B19" s="19">
        <f>Empresas!G30</f>
        <v>0</v>
      </c>
    </row>
    <row r="20" spans="1:2" x14ac:dyDescent="0.25">
      <c r="A20" s="13" t="e">
        <f>Empresas!#REF!</f>
        <v>#REF!</v>
      </c>
      <c r="B20" s="19">
        <f>Empresas!G31</f>
        <v>0</v>
      </c>
    </row>
    <row r="21" spans="1:2" x14ac:dyDescent="0.25">
      <c r="A21" s="13" t="e">
        <f>Empresas!#REF!</f>
        <v>#REF!</v>
      </c>
      <c r="B21" s="19">
        <f>Empresas!G36</f>
        <v>0</v>
      </c>
    </row>
    <row r="22" spans="1:2" x14ac:dyDescent="0.25">
      <c r="A22" s="13" t="e">
        <f>Empresas!#REF!</f>
        <v>#REF!</v>
      </c>
      <c r="B22" s="19">
        <f>Empresas!G37</f>
        <v>21.841829285147057</v>
      </c>
    </row>
    <row r="23" spans="1:2" x14ac:dyDescent="0.25">
      <c r="A23" s="13" t="e">
        <f>Empresas!#REF!</f>
        <v>#REF!</v>
      </c>
      <c r="B23" s="19">
        <f>Empresas!G38</f>
        <v>34.052585201891866</v>
      </c>
    </row>
    <row r="24" spans="1:2" x14ac:dyDescent="0.25">
      <c r="A24" s="13" t="e">
        <f>Empresas!#REF!</f>
        <v>#REF!</v>
      </c>
      <c r="B24" s="19">
        <f>Empresas!G39</f>
        <v>32.352140388198023</v>
      </c>
    </row>
    <row r="25" spans="1:2" x14ac:dyDescent="0.25">
      <c r="A25" s="13" t="e">
        <f>Empresas!#REF!</f>
        <v>#REF!</v>
      </c>
      <c r="B25" s="19">
        <f>Empresas!G40</f>
        <v>25.370210297412093</v>
      </c>
    </row>
    <row r="26" spans="1:2" x14ac:dyDescent="0.25">
      <c r="A26" s="13" t="e">
        <f>Empresas!#REF!</f>
        <v>#REF!</v>
      </c>
      <c r="B26" s="19">
        <f>Empresas!G47</f>
        <v>0</v>
      </c>
    </row>
    <row r="27" spans="1:2" x14ac:dyDescent="0.25">
      <c r="B27" s="14"/>
    </row>
    <row r="28" spans="1:2" x14ac:dyDescent="0.25">
      <c r="A28" s="30" t="str">
        <f>Empresas!A50</f>
        <v>LOTE 3: MOBILIARIO DE DESPACHOS</v>
      </c>
      <c r="B28" s="14"/>
    </row>
    <row r="29" spans="1:2" x14ac:dyDescent="0.25">
      <c r="B29" s="14"/>
    </row>
    <row r="30" spans="1:2" x14ac:dyDescent="0.25">
      <c r="A30" s="132" t="str">
        <f>Empresas!A52</f>
        <v>Empresa</v>
      </c>
      <c r="B30" s="133" t="str">
        <f>Empresas!G53</f>
        <v>Puntuación Sobre 2</v>
      </c>
    </row>
    <row r="31" spans="1:2" x14ac:dyDescent="0.25">
      <c r="A31" s="13" t="e">
        <f>Empresas!#REF!</f>
        <v>#REF!</v>
      </c>
      <c r="B31" s="19">
        <f>Empresas!G54</f>
        <v>0</v>
      </c>
    </row>
    <row r="32" spans="1:2" x14ac:dyDescent="0.25">
      <c r="A32" s="13" t="e">
        <f>Empresas!#REF!</f>
        <v>#REF!</v>
      </c>
      <c r="B32" s="19">
        <f>Empresas!G60</f>
        <v>0</v>
      </c>
    </row>
    <row r="33" spans="1:2" x14ac:dyDescent="0.25">
      <c r="B33" s="14"/>
    </row>
    <row r="34" spans="1:2" x14ac:dyDescent="0.25">
      <c r="A34" s="30" t="str">
        <f>Empresas!A64</f>
        <v>LOTE 4: MOBILIARIO GENERAL</v>
      </c>
      <c r="B34" s="14"/>
    </row>
    <row r="35" spans="1:2" x14ac:dyDescent="0.25">
      <c r="B35" s="14"/>
    </row>
    <row r="36" spans="1:2" x14ac:dyDescent="0.25">
      <c r="A36" s="132" t="str">
        <f>Empresas!A66</f>
        <v>Empresa</v>
      </c>
      <c r="B36" s="133" t="str">
        <f>Empresas!G67</f>
        <v>Puntuación Sobre 2</v>
      </c>
    </row>
    <row r="37" spans="1:2" x14ac:dyDescent="0.25">
      <c r="A37" s="13" t="e">
        <f>Empresas!#REF!</f>
        <v>#REF!</v>
      </c>
      <c r="B37" s="19">
        <f>Empresas!G68</f>
        <v>28.24450225154423</v>
      </c>
    </row>
    <row r="38" spans="1:2" x14ac:dyDescent="0.25">
      <c r="A38" s="12"/>
      <c r="B38" s="134"/>
    </row>
    <row r="39" spans="1:2" x14ac:dyDescent="0.25">
      <c r="A39" s="12"/>
      <c r="B39" s="134"/>
    </row>
    <row r="40" spans="1:2" x14ac:dyDescent="0.25">
      <c r="A40" s="12"/>
      <c r="B40" s="134"/>
    </row>
    <row r="41" spans="1:2" x14ac:dyDescent="0.25">
      <c r="A41" s="12"/>
      <c r="B41" s="134"/>
    </row>
    <row r="42" spans="1:2" x14ac:dyDescent="0.25">
      <c r="A42" s="12"/>
      <c r="B42" s="134"/>
    </row>
    <row r="43" spans="1:2" x14ac:dyDescent="0.25">
      <c r="A43" s="12"/>
      <c r="B43" s="134"/>
    </row>
    <row r="44" spans="1:2" x14ac:dyDescent="0.25">
      <c r="A44" s="12"/>
      <c r="B44" s="134"/>
    </row>
    <row r="45" spans="1:2" x14ac:dyDescent="0.25">
      <c r="A45" s="12"/>
      <c r="B45" s="134"/>
    </row>
    <row r="46" spans="1:2" x14ac:dyDescent="0.25">
      <c r="A46" s="12"/>
      <c r="B46" s="134"/>
    </row>
    <row r="47" spans="1:2" x14ac:dyDescent="0.25">
      <c r="A47" s="12"/>
      <c r="B47" s="134"/>
    </row>
    <row r="48" spans="1:2" x14ac:dyDescent="0.25">
      <c r="A48" s="12"/>
      <c r="B48" s="134"/>
    </row>
    <row r="49" spans="1:2" x14ac:dyDescent="0.25">
      <c r="A49" s="12"/>
      <c r="B49" s="134"/>
    </row>
    <row r="50" spans="1:2" x14ac:dyDescent="0.25">
      <c r="B50" s="14"/>
    </row>
    <row r="54" spans="1:2" ht="28.5" customHeight="1" x14ac:dyDescent="0.25">
      <c r="A54" s="1130" t="s">
        <v>238</v>
      </c>
      <c r="B54" s="1130"/>
    </row>
    <row r="55" spans="1:2" x14ac:dyDescent="0.25">
      <c r="A55" s="43" t="s">
        <v>26</v>
      </c>
      <c r="B55" s="43" t="s">
        <v>97</v>
      </c>
    </row>
    <row r="56" spans="1:2" x14ac:dyDescent="0.25">
      <c r="A56" s="26">
        <v>0</v>
      </c>
      <c r="B56" s="142">
        <v>0</v>
      </c>
    </row>
    <row r="57" spans="1:2" x14ac:dyDescent="0.25">
      <c r="A57" s="26">
        <v>1</v>
      </c>
      <c r="B57" s="142">
        <v>0</v>
      </c>
    </row>
    <row r="58" spans="1:2" x14ac:dyDescent="0.25">
      <c r="A58" s="26">
        <v>2</v>
      </c>
      <c r="B58" s="142">
        <v>0</v>
      </c>
    </row>
    <row r="59" spans="1:2" x14ac:dyDescent="0.25">
      <c r="A59" s="26">
        <v>3</v>
      </c>
      <c r="B59" s="142">
        <f>5/8</f>
        <v>0.625</v>
      </c>
    </row>
    <row r="60" spans="1:2" x14ac:dyDescent="0.25">
      <c r="A60" s="26">
        <v>4</v>
      </c>
      <c r="B60" s="142">
        <f>B$59*2</f>
        <v>1.25</v>
      </c>
    </row>
    <row r="61" spans="1:2" x14ac:dyDescent="0.25">
      <c r="A61" s="26">
        <v>5</v>
      </c>
      <c r="B61" s="142">
        <f>B$59*3</f>
        <v>1.875</v>
      </c>
    </row>
    <row r="62" spans="1:2" x14ac:dyDescent="0.25">
      <c r="A62" s="26">
        <v>6</v>
      </c>
      <c r="B62" s="142">
        <f>B$59*4</f>
        <v>2.5</v>
      </c>
    </row>
    <row r="63" spans="1:2" x14ac:dyDescent="0.25">
      <c r="A63" s="26">
        <v>7</v>
      </c>
      <c r="B63" s="142">
        <f>B$59*5</f>
        <v>3.125</v>
      </c>
    </row>
    <row r="64" spans="1:2" x14ac:dyDescent="0.25">
      <c r="A64" s="26">
        <v>8</v>
      </c>
      <c r="B64" s="142">
        <f>B$59*6</f>
        <v>3.75</v>
      </c>
    </row>
    <row r="65" spans="1:2" x14ac:dyDescent="0.25">
      <c r="A65" s="26">
        <v>9</v>
      </c>
      <c r="B65" s="142">
        <f>B$59*7</f>
        <v>4.375</v>
      </c>
    </row>
    <row r="66" spans="1:2" x14ac:dyDescent="0.25">
      <c r="A66" s="26">
        <v>10</v>
      </c>
      <c r="B66" s="142">
        <v>5</v>
      </c>
    </row>
  </sheetData>
  <mergeCells count="2">
    <mergeCell ref="A54:B54"/>
    <mergeCell ref="A8:B9"/>
  </mergeCells>
  <phoneticPr fontId="33" type="noConversion"/>
  <pageMargins left="1.2" right="0.75" top="2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opLeftCell="A126" workbookViewId="0">
      <selection activeCell="B148" sqref="B148:C148"/>
    </sheetView>
  </sheetViews>
  <sheetFormatPr baseColWidth="10" defaultColWidth="11.44140625" defaultRowHeight="14.4" x14ac:dyDescent="0.3"/>
  <cols>
    <col min="1" max="1" width="47.6640625" style="663" customWidth="1"/>
    <col min="2" max="2" width="30.5546875" style="663" customWidth="1"/>
    <col min="3" max="16384" width="11.44140625" style="663"/>
  </cols>
  <sheetData>
    <row r="1" spans="1:12" x14ac:dyDescent="0.3">
      <c r="A1" s="662"/>
      <c r="C1" s="663" t="s">
        <v>649</v>
      </c>
      <c r="D1" s="1135" t="s">
        <v>893</v>
      </c>
      <c r="E1" s="1135"/>
      <c r="F1" s="1136" t="s">
        <v>309</v>
      </c>
      <c r="G1" s="1136"/>
      <c r="H1" s="1137" t="s">
        <v>312</v>
      </c>
      <c r="I1" s="1138"/>
    </row>
    <row r="2" spans="1:12" s="670" customFormat="1" x14ac:dyDescent="0.3">
      <c r="A2" s="664" t="s">
        <v>894</v>
      </c>
      <c r="B2" s="665"/>
      <c r="C2" s="666">
        <v>7</v>
      </c>
      <c r="D2" s="667"/>
      <c r="E2" s="668"/>
      <c r="F2" s="669"/>
      <c r="G2" s="668"/>
      <c r="H2" s="669"/>
      <c r="I2" s="668"/>
    </row>
    <row r="3" spans="1:12" x14ac:dyDescent="0.3">
      <c r="A3" s="671"/>
      <c r="B3" s="672"/>
      <c r="C3" s="673"/>
      <c r="D3" s="674" t="s">
        <v>895</v>
      </c>
      <c r="E3" s="675" t="s">
        <v>649</v>
      </c>
      <c r="F3" s="674" t="s">
        <v>895</v>
      </c>
      <c r="G3" s="675" t="s">
        <v>649</v>
      </c>
      <c r="H3" s="674" t="s">
        <v>895</v>
      </c>
      <c r="I3" s="675" t="s">
        <v>649</v>
      </c>
      <c r="L3" s="663">
        <f>(7*67.01)/30</f>
        <v>15.635666666666669</v>
      </c>
    </row>
    <row r="4" spans="1:12" x14ac:dyDescent="0.3">
      <c r="A4" s="676" t="s">
        <v>896</v>
      </c>
      <c r="B4" s="677"/>
      <c r="C4" s="678">
        <v>2</v>
      </c>
      <c r="D4" s="679"/>
      <c r="E4" s="680"/>
      <c r="F4" s="679"/>
      <c r="G4" s="680"/>
      <c r="H4" s="679"/>
      <c r="I4" s="680"/>
    </row>
    <row r="5" spans="1:12" x14ac:dyDescent="0.3">
      <c r="A5" s="1139" t="s">
        <v>897</v>
      </c>
      <c r="B5" s="681" t="s">
        <v>898</v>
      </c>
      <c r="C5" s="682">
        <v>0</v>
      </c>
      <c r="D5" s="683" t="s">
        <v>899</v>
      </c>
      <c r="E5" s="684"/>
      <c r="F5" s="685" t="s">
        <v>900</v>
      </c>
      <c r="G5" s="686"/>
      <c r="H5" s="687" t="s">
        <v>900</v>
      </c>
      <c r="I5" s="688"/>
    </row>
    <row r="6" spans="1:12" x14ac:dyDescent="0.3">
      <c r="A6" s="1140"/>
      <c r="B6" s="689" t="s">
        <v>901</v>
      </c>
      <c r="C6" s="682">
        <v>0.25</v>
      </c>
      <c r="D6" s="690"/>
      <c r="E6" s="691">
        <v>0.25</v>
      </c>
      <c r="F6" s="692"/>
      <c r="G6" s="693"/>
      <c r="H6" s="694"/>
      <c r="I6" s="695"/>
    </row>
    <row r="7" spans="1:12" x14ac:dyDescent="0.3">
      <c r="A7" s="1141"/>
      <c r="B7" s="689" t="s">
        <v>902</v>
      </c>
      <c r="C7" s="682">
        <v>0.5</v>
      </c>
      <c r="D7" s="690"/>
      <c r="E7" s="691"/>
      <c r="F7" s="685"/>
      <c r="G7" s="693">
        <v>0.5</v>
      </c>
      <c r="H7" s="694"/>
      <c r="I7" s="695">
        <v>0.5</v>
      </c>
    </row>
    <row r="8" spans="1:12" x14ac:dyDescent="0.3">
      <c r="A8" s="1142" t="s">
        <v>903</v>
      </c>
      <c r="B8" s="696" t="s">
        <v>904</v>
      </c>
      <c r="C8" s="682">
        <v>0.5</v>
      </c>
      <c r="D8" s="683" t="s">
        <v>905</v>
      </c>
      <c r="E8" s="684">
        <v>0.5</v>
      </c>
      <c r="F8" s="685" t="s">
        <v>905</v>
      </c>
      <c r="G8" s="693">
        <v>0.5</v>
      </c>
      <c r="H8" s="687" t="s">
        <v>905</v>
      </c>
      <c r="I8" s="695">
        <v>0.5</v>
      </c>
    </row>
    <row r="9" spans="1:12" x14ac:dyDescent="0.3">
      <c r="A9" s="1143"/>
      <c r="B9" s="696" t="s">
        <v>179</v>
      </c>
      <c r="C9" s="682"/>
      <c r="D9" s="690"/>
      <c r="E9" s="691"/>
      <c r="F9" s="685"/>
      <c r="G9" s="693"/>
      <c r="H9" s="694"/>
      <c r="I9" s="695"/>
    </row>
    <row r="10" spans="1:12" x14ac:dyDescent="0.3">
      <c r="A10" s="697" t="s">
        <v>906</v>
      </c>
      <c r="B10" s="696"/>
      <c r="C10" s="682">
        <v>0.5</v>
      </c>
      <c r="D10" s="683" t="s">
        <v>905</v>
      </c>
      <c r="E10" s="691">
        <v>0.5</v>
      </c>
      <c r="F10" s="685"/>
      <c r="G10" s="693"/>
      <c r="H10" s="687"/>
      <c r="I10" s="695"/>
    </row>
    <row r="11" spans="1:12" x14ac:dyDescent="0.3">
      <c r="A11" s="698" t="s">
        <v>907</v>
      </c>
      <c r="B11" s="696"/>
      <c r="C11" s="682">
        <v>0.5</v>
      </c>
      <c r="D11" s="683" t="s">
        <v>908</v>
      </c>
      <c r="E11" s="684">
        <v>0.5</v>
      </c>
      <c r="F11" s="685" t="s">
        <v>908</v>
      </c>
      <c r="G11" s="693">
        <v>0.5</v>
      </c>
      <c r="H11" s="687" t="s">
        <v>908</v>
      </c>
      <c r="I11" s="695">
        <v>0.5</v>
      </c>
    </row>
    <row r="12" spans="1:12" s="701" customFormat="1" ht="13.8" x14ac:dyDescent="0.3">
      <c r="A12" s="676" t="s">
        <v>909</v>
      </c>
      <c r="B12" s="699"/>
      <c r="C12" s="700">
        <v>5</v>
      </c>
      <c r="D12" s="679"/>
      <c r="E12" s="680"/>
      <c r="F12" s="679"/>
      <c r="G12" s="680"/>
      <c r="H12" s="679"/>
      <c r="I12" s="680"/>
    </row>
    <row r="13" spans="1:12" x14ac:dyDescent="0.3">
      <c r="A13" s="1133" t="s">
        <v>910</v>
      </c>
      <c r="B13" s="702" t="s">
        <v>905</v>
      </c>
      <c r="C13" s="703">
        <v>1</v>
      </c>
      <c r="D13" s="683" t="s">
        <v>139</v>
      </c>
      <c r="E13" s="684">
        <v>1</v>
      </c>
      <c r="F13" s="704" t="s">
        <v>179</v>
      </c>
      <c r="G13" s="705"/>
      <c r="H13" s="706" t="s">
        <v>179</v>
      </c>
      <c r="I13" s="707"/>
    </row>
    <row r="14" spans="1:12" x14ac:dyDescent="0.3">
      <c r="A14" s="1134"/>
      <c r="B14" s="702" t="s">
        <v>179</v>
      </c>
      <c r="C14" s="708"/>
      <c r="D14" s="683"/>
      <c r="E14" s="684"/>
      <c r="F14" s="704"/>
      <c r="G14" s="705"/>
      <c r="H14" s="706"/>
      <c r="I14" s="707"/>
    </row>
    <row r="15" spans="1:12" x14ac:dyDescent="0.3">
      <c r="A15" s="1133" t="s">
        <v>911</v>
      </c>
      <c r="B15" s="702" t="s">
        <v>905</v>
      </c>
      <c r="C15" s="703">
        <v>0.5</v>
      </c>
      <c r="D15" s="683" t="s">
        <v>139</v>
      </c>
      <c r="E15" s="684">
        <v>0.5</v>
      </c>
      <c r="F15" s="704" t="s">
        <v>179</v>
      </c>
      <c r="G15" s="705"/>
      <c r="H15" s="706" t="s">
        <v>179</v>
      </c>
      <c r="I15" s="707"/>
    </row>
    <row r="16" spans="1:12" x14ac:dyDescent="0.3">
      <c r="A16" s="1134"/>
      <c r="B16" s="702" t="s">
        <v>912</v>
      </c>
      <c r="C16" s="703"/>
      <c r="D16" s="683"/>
      <c r="E16" s="684"/>
      <c r="F16" s="704"/>
      <c r="G16" s="705"/>
      <c r="H16" s="706"/>
      <c r="I16" s="707"/>
    </row>
    <row r="17" spans="1:9" x14ac:dyDescent="0.3">
      <c r="A17" s="1146" t="s">
        <v>913</v>
      </c>
      <c r="B17" s="702" t="s">
        <v>139</v>
      </c>
      <c r="C17" s="703">
        <v>0.5</v>
      </c>
      <c r="D17" s="683" t="s">
        <v>905</v>
      </c>
      <c r="E17" s="684">
        <v>0.5</v>
      </c>
      <c r="F17" s="704" t="s">
        <v>905</v>
      </c>
      <c r="G17" s="705">
        <v>0.5</v>
      </c>
      <c r="H17" s="706" t="s">
        <v>905</v>
      </c>
      <c r="I17" s="709">
        <v>0.5</v>
      </c>
    </row>
    <row r="18" spans="1:9" x14ac:dyDescent="0.3">
      <c r="A18" s="1147"/>
      <c r="B18" s="702" t="s">
        <v>179</v>
      </c>
      <c r="C18" s="703"/>
      <c r="D18" s="683"/>
      <c r="E18" s="684"/>
      <c r="F18" s="704"/>
      <c r="G18" s="705"/>
      <c r="H18" s="706"/>
      <c r="I18" s="707"/>
    </row>
    <row r="19" spans="1:9" x14ac:dyDescent="0.3">
      <c r="A19" s="1148" t="s">
        <v>914</v>
      </c>
      <c r="B19" s="710" t="s">
        <v>139</v>
      </c>
      <c r="C19" s="703">
        <v>0.5</v>
      </c>
      <c r="D19" s="683" t="s">
        <v>905</v>
      </c>
      <c r="E19" s="684">
        <v>0.5</v>
      </c>
      <c r="F19" s="704" t="s">
        <v>905</v>
      </c>
      <c r="G19" s="705">
        <v>0.5</v>
      </c>
      <c r="H19" s="706" t="s">
        <v>905</v>
      </c>
      <c r="I19" s="709">
        <v>0.5</v>
      </c>
    </row>
    <row r="20" spans="1:9" x14ac:dyDescent="0.3">
      <c r="A20" s="1149"/>
      <c r="B20" s="710" t="s">
        <v>179</v>
      </c>
      <c r="C20" s="703"/>
      <c r="D20" s="683"/>
      <c r="E20" s="684"/>
      <c r="F20" s="704"/>
      <c r="G20" s="705"/>
      <c r="H20" s="706"/>
      <c r="I20" s="707"/>
    </row>
    <row r="21" spans="1:9" x14ac:dyDescent="0.3">
      <c r="A21" s="1148" t="s">
        <v>915</v>
      </c>
      <c r="B21" s="710" t="s">
        <v>916</v>
      </c>
      <c r="C21" s="703">
        <v>0.25</v>
      </c>
      <c r="D21" s="683" t="s">
        <v>917</v>
      </c>
      <c r="E21" s="684">
        <v>0.25</v>
      </c>
      <c r="F21" s="704"/>
      <c r="G21" s="705"/>
      <c r="H21" s="706"/>
      <c r="I21" s="707"/>
    </row>
    <row r="22" spans="1:9" x14ac:dyDescent="0.3">
      <c r="A22" s="1149"/>
      <c r="B22" s="710" t="s">
        <v>918</v>
      </c>
      <c r="C22" s="703">
        <v>0.5</v>
      </c>
      <c r="D22" s="683"/>
      <c r="E22" s="684"/>
      <c r="F22" s="704" t="s">
        <v>919</v>
      </c>
      <c r="G22" s="705">
        <v>0.5</v>
      </c>
      <c r="H22" s="706" t="s">
        <v>919</v>
      </c>
      <c r="I22" s="707">
        <v>0.5</v>
      </c>
    </row>
    <row r="23" spans="1:9" x14ac:dyDescent="0.3">
      <c r="A23" s="1148" t="s">
        <v>920</v>
      </c>
      <c r="B23" s="710" t="s">
        <v>921</v>
      </c>
      <c r="C23" s="703">
        <v>0.25</v>
      </c>
      <c r="D23" s="683"/>
      <c r="E23" s="684"/>
      <c r="F23" s="704" t="s">
        <v>922</v>
      </c>
      <c r="G23" s="705">
        <v>0.25</v>
      </c>
      <c r="H23" s="706" t="s">
        <v>922</v>
      </c>
      <c r="I23" s="707">
        <v>0.25</v>
      </c>
    </row>
    <row r="24" spans="1:9" ht="15.75" customHeight="1" x14ac:dyDescent="0.3">
      <c r="A24" s="1149"/>
      <c r="B24" s="710" t="s">
        <v>923</v>
      </c>
      <c r="C24" s="703">
        <v>0.5</v>
      </c>
      <c r="D24" s="683" t="s">
        <v>923</v>
      </c>
      <c r="E24" s="684">
        <v>0.5</v>
      </c>
      <c r="F24" s="704"/>
      <c r="G24" s="705"/>
      <c r="H24" s="706"/>
      <c r="I24" s="707"/>
    </row>
    <row r="25" spans="1:9" x14ac:dyDescent="0.3">
      <c r="A25" s="1148" t="s">
        <v>924</v>
      </c>
      <c r="B25" s="710" t="s">
        <v>904</v>
      </c>
      <c r="C25" s="703">
        <v>0.5</v>
      </c>
      <c r="D25" s="683" t="s">
        <v>905</v>
      </c>
      <c r="E25" s="684">
        <v>0.5</v>
      </c>
      <c r="F25" s="704" t="s">
        <v>905</v>
      </c>
      <c r="G25" s="705">
        <v>0.5</v>
      </c>
      <c r="H25" s="706" t="s">
        <v>905</v>
      </c>
      <c r="I25" s="709">
        <v>0.5</v>
      </c>
    </row>
    <row r="26" spans="1:9" ht="12" customHeight="1" x14ac:dyDescent="0.3">
      <c r="A26" s="1149"/>
      <c r="B26" s="710" t="s">
        <v>179</v>
      </c>
      <c r="C26" s="703"/>
      <c r="D26" s="683"/>
      <c r="E26" s="684"/>
      <c r="F26" s="704"/>
      <c r="G26" s="705"/>
      <c r="H26" s="706"/>
      <c r="I26" s="707"/>
    </row>
    <row r="27" spans="1:9" ht="15" customHeight="1" x14ac:dyDescent="0.3">
      <c r="A27" s="1148" t="s">
        <v>925</v>
      </c>
      <c r="B27" s="710" t="s">
        <v>904</v>
      </c>
      <c r="C27" s="703">
        <v>1</v>
      </c>
      <c r="D27" s="683" t="s">
        <v>139</v>
      </c>
      <c r="E27" s="684">
        <v>1</v>
      </c>
      <c r="F27" s="704"/>
      <c r="G27" s="705" t="s">
        <v>690</v>
      </c>
      <c r="H27" s="706"/>
      <c r="I27" s="707"/>
    </row>
    <row r="28" spans="1:9" x14ac:dyDescent="0.3">
      <c r="A28" s="1149"/>
      <c r="B28" s="710" t="s">
        <v>179</v>
      </c>
      <c r="C28" s="703"/>
      <c r="D28" s="683"/>
      <c r="E28" s="684"/>
      <c r="F28" s="704" t="s">
        <v>179</v>
      </c>
      <c r="G28" s="705" t="s">
        <v>690</v>
      </c>
      <c r="H28" s="706" t="s">
        <v>179</v>
      </c>
      <c r="I28" s="707"/>
    </row>
    <row r="29" spans="1:9" x14ac:dyDescent="0.3">
      <c r="A29" s="664" t="s">
        <v>926</v>
      </c>
      <c r="B29" s="711"/>
      <c r="C29" s="712">
        <v>3</v>
      </c>
      <c r="D29" s="713"/>
      <c r="E29" s="714"/>
      <c r="F29" s="715"/>
      <c r="G29" s="714"/>
      <c r="H29" s="715"/>
      <c r="I29" s="714"/>
    </row>
    <row r="30" spans="1:9" x14ac:dyDescent="0.3">
      <c r="A30" s="671"/>
      <c r="B30" s="672"/>
      <c r="C30" s="673"/>
      <c r="D30" s="674" t="s">
        <v>895</v>
      </c>
      <c r="E30" s="675" t="s">
        <v>649</v>
      </c>
      <c r="F30" s="674" t="s">
        <v>895</v>
      </c>
      <c r="G30" s="675" t="s">
        <v>649</v>
      </c>
      <c r="H30" s="674" t="s">
        <v>895</v>
      </c>
      <c r="I30" s="675" t="s">
        <v>649</v>
      </c>
    </row>
    <row r="31" spans="1:9" s="701" customFormat="1" ht="13.8" x14ac:dyDescent="0.3">
      <c r="A31" s="676" t="s">
        <v>927</v>
      </c>
      <c r="B31" s="677"/>
      <c r="C31" s="700">
        <v>1.5</v>
      </c>
      <c r="D31" s="679"/>
      <c r="E31" s="680"/>
      <c r="F31" s="679"/>
      <c r="G31" s="680"/>
      <c r="H31" s="679"/>
      <c r="I31" s="680"/>
    </row>
    <row r="32" spans="1:9" x14ac:dyDescent="0.3">
      <c r="A32" s="1145" t="s">
        <v>928</v>
      </c>
      <c r="B32" s="681" t="s">
        <v>139</v>
      </c>
      <c r="C32" s="716">
        <v>0.5</v>
      </c>
      <c r="D32" s="717"/>
      <c r="E32" s="718"/>
      <c r="F32" s="704"/>
      <c r="G32" s="705"/>
      <c r="H32" s="706" t="s">
        <v>139</v>
      </c>
      <c r="I32" s="709">
        <v>0.5</v>
      </c>
    </row>
    <row r="33" spans="1:9" x14ac:dyDescent="0.3">
      <c r="A33" s="1145"/>
      <c r="B33" s="681" t="s">
        <v>179</v>
      </c>
      <c r="C33" s="716"/>
      <c r="D33" s="717" t="s">
        <v>179</v>
      </c>
      <c r="E33" s="718"/>
      <c r="F33" s="704" t="s">
        <v>179</v>
      </c>
      <c r="G33" s="705"/>
      <c r="H33" s="706"/>
      <c r="I33" s="709"/>
    </row>
    <row r="34" spans="1:9" x14ac:dyDescent="0.3">
      <c r="A34" s="1140" t="s">
        <v>929</v>
      </c>
      <c r="B34" s="689" t="s">
        <v>904</v>
      </c>
      <c r="C34" s="716">
        <v>0.5</v>
      </c>
      <c r="D34" s="719" t="s">
        <v>139</v>
      </c>
      <c r="E34" s="720">
        <v>0.5</v>
      </c>
      <c r="F34" s="721" t="s">
        <v>139</v>
      </c>
      <c r="G34" s="705">
        <v>0.5</v>
      </c>
      <c r="H34" s="706" t="s">
        <v>139</v>
      </c>
      <c r="I34" s="709">
        <v>0.5</v>
      </c>
    </row>
    <row r="35" spans="1:9" x14ac:dyDescent="0.3">
      <c r="A35" s="1140"/>
      <c r="B35" s="689" t="s">
        <v>179</v>
      </c>
      <c r="C35" s="716"/>
      <c r="D35" s="722"/>
      <c r="E35" s="718"/>
      <c r="F35" s="704"/>
      <c r="G35" s="705"/>
      <c r="H35" s="723"/>
      <c r="I35" s="709"/>
    </row>
    <row r="36" spans="1:9" x14ac:dyDescent="0.3">
      <c r="A36" s="1140" t="s">
        <v>930</v>
      </c>
      <c r="B36" s="689" t="s">
        <v>931</v>
      </c>
      <c r="C36" s="716">
        <v>0.25</v>
      </c>
      <c r="D36" s="717" t="s">
        <v>931</v>
      </c>
      <c r="E36" s="718">
        <v>0.25</v>
      </c>
      <c r="F36" s="704" t="s">
        <v>931</v>
      </c>
      <c r="G36" s="705">
        <v>0.25</v>
      </c>
      <c r="H36" s="706"/>
      <c r="I36" s="709"/>
    </row>
    <row r="37" spans="1:9" x14ac:dyDescent="0.3">
      <c r="A37" s="1140"/>
      <c r="B37" s="689" t="s">
        <v>932</v>
      </c>
      <c r="C37" s="716">
        <v>0.5</v>
      </c>
      <c r="D37" s="717"/>
      <c r="E37" s="718"/>
      <c r="F37" s="704"/>
      <c r="G37" s="705"/>
      <c r="H37" s="706" t="s">
        <v>932</v>
      </c>
      <c r="I37" s="709">
        <v>0.5</v>
      </c>
    </row>
    <row r="38" spans="1:9" x14ac:dyDescent="0.3">
      <c r="A38" s="676" t="s">
        <v>933</v>
      </c>
      <c r="B38" s="677"/>
      <c r="C38" s="700">
        <v>1.5</v>
      </c>
      <c r="D38" s="679"/>
      <c r="E38" s="680"/>
      <c r="F38" s="679"/>
      <c r="G38" s="680"/>
      <c r="H38" s="679"/>
      <c r="I38" s="680"/>
    </row>
    <row r="39" spans="1:9" x14ac:dyDescent="0.3">
      <c r="A39" s="1150" t="s">
        <v>934</v>
      </c>
      <c r="B39" s="724" t="s">
        <v>935</v>
      </c>
      <c r="C39" s="725">
        <v>1</v>
      </c>
      <c r="D39" s="726" t="s">
        <v>936</v>
      </c>
      <c r="E39" s="727">
        <v>1</v>
      </c>
      <c r="F39" s="705" t="s">
        <v>936</v>
      </c>
      <c r="G39" s="728">
        <v>1</v>
      </c>
      <c r="H39" s="729"/>
      <c r="I39" s="729"/>
    </row>
    <row r="40" spans="1:9" x14ac:dyDescent="0.3">
      <c r="A40" s="1151"/>
      <c r="B40" s="681" t="s">
        <v>937</v>
      </c>
      <c r="C40" s="725">
        <v>0.5</v>
      </c>
      <c r="D40" s="718"/>
      <c r="E40" s="727"/>
      <c r="F40" s="730"/>
      <c r="G40" s="728"/>
      <c r="H40" s="707" t="s">
        <v>937</v>
      </c>
      <c r="I40" s="731">
        <v>0.5</v>
      </c>
    </row>
    <row r="41" spans="1:9" x14ac:dyDescent="0.3">
      <c r="A41" s="732" t="s">
        <v>938</v>
      </c>
      <c r="B41" s="681" t="s">
        <v>939</v>
      </c>
      <c r="C41" s="725">
        <v>0.5</v>
      </c>
      <c r="D41" s="726" t="s">
        <v>940</v>
      </c>
      <c r="E41" s="727"/>
      <c r="F41" s="705" t="s">
        <v>940</v>
      </c>
      <c r="G41" s="728"/>
      <c r="H41" s="707" t="s">
        <v>939</v>
      </c>
      <c r="I41" s="731">
        <v>0.5</v>
      </c>
    </row>
    <row r="42" spans="1:9" x14ac:dyDescent="0.3">
      <c r="A42" s="733" t="s">
        <v>941</v>
      </c>
      <c r="B42" s="734"/>
      <c r="C42" s="735">
        <v>5</v>
      </c>
      <c r="D42" s="736"/>
      <c r="E42" s="737"/>
      <c r="F42" s="738"/>
      <c r="G42" s="737"/>
      <c r="H42" s="738"/>
      <c r="I42" s="737"/>
    </row>
    <row r="43" spans="1:9" x14ac:dyDescent="0.3">
      <c r="A43" s="671"/>
      <c r="B43" s="672"/>
      <c r="C43" s="673"/>
      <c r="D43" s="674" t="s">
        <v>895</v>
      </c>
      <c r="E43" s="675" t="s">
        <v>649</v>
      </c>
      <c r="F43" s="674" t="s">
        <v>895</v>
      </c>
      <c r="G43" s="675" t="s">
        <v>649</v>
      </c>
      <c r="H43" s="674" t="s">
        <v>895</v>
      </c>
      <c r="I43" s="675" t="s">
        <v>649</v>
      </c>
    </row>
    <row r="44" spans="1:9" x14ac:dyDescent="0.3">
      <c r="A44" s="1144" t="s">
        <v>942</v>
      </c>
      <c r="B44" s="739" t="s">
        <v>139</v>
      </c>
      <c r="C44" s="740">
        <v>1</v>
      </c>
      <c r="D44" s="717" t="s">
        <v>905</v>
      </c>
      <c r="E44" s="726">
        <v>1</v>
      </c>
      <c r="F44" s="704" t="s">
        <v>905</v>
      </c>
      <c r="G44" s="705">
        <v>1</v>
      </c>
      <c r="H44" s="706"/>
      <c r="I44" s="707"/>
    </row>
    <row r="45" spans="1:9" x14ac:dyDescent="0.3">
      <c r="A45" s="1145"/>
      <c r="B45" s="681" t="s">
        <v>944</v>
      </c>
      <c r="C45" s="741">
        <v>0</v>
      </c>
      <c r="D45" s="717"/>
      <c r="E45" s="718"/>
      <c r="F45" s="704"/>
      <c r="G45" s="705"/>
      <c r="H45" s="706" t="s">
        <v>179</v>
      </c>
      <c r="I45" s="707">
        <v>0</v>
      </c>
    </row>
    <row r="46" spans="1:9" x14ac:dyDescent="0.3">
      <c r="A46" s="1145" t="s">
        <v>945</v>
      </c>
      <c r="B46" s="681" t="s">
        <v>946</v>
      </c>
      <c r="C46" s="741">
        <v>1</v>
      </c>
      <c r="D46" s="717"/>
      <c r="E46" s="718"/>
      <c r="F46" s="704"/>
      <c r="G46" s="705"/>
      <c r="H46" s="742" t="s">
        <v>947</v>
      </c>
      <c r="I46" s="707">
        <v>1</v>
      </c>
    </row>
    <row r="47" spans="1:9" x14ac:dyDescent="0.3">
      <c r="A47" s="1145"/>
      <c r="B47" s="681" t="s">
        <v>948</v>
      </c>
      <c r="C47" s="741">
        <v>0</v>
      </c>
      <c r="D47" s="717" t="s">
        <v>949</v>
      </c>
      <c r="E47" s="718">
        <v>0</v>
      </c>
      <c r="F47" s="704" t="s">
        <v>950</v>
      </c>
      <c r="G47" s="705">
        <v>1</v>
      </c>
      <c r="H47" s="706"/>
      <c r="I47" s="707"/>
    </row>
    <row r="48" spans="1:9" x14ac:dyDescent="0.3">
      <c r="A48" s="1145" t="s">
        <v>951</v>
      </c>
      <c r="B48" s="681" t="s">
        <v>952</v>
      </c>
      <c r="C48" s="741">
        <v>0.5</v>
      </c>
      <c r="D48" s="717"/>
      <c r="E48" s="718"/>
      <c r="F48" s="704"/>
      <c r="G48" s="705"/>
      <c r="H48" s="706"/>
      <c r="I48" s="707"/>
    </row>
    <row r="49" spans="1:9" x14ac:dyDescent="0.3">
      <c r="A49" s="1145"/>
      <c r="B49" s="681" t="s">
        <v>953</v>
      </c>
      <c r="C49" s="741">
        <v>0</v>
      </c>
      <c r="D49" s="717" t="s">
        <v>953</v>
      </c>
      <c r="E49" s="726">
        <v>0</v>
      </c>
      <c r="F49" s="704" t="s">
        <v>953</v>
      </c>
      <c r="G49" s="705">
        <v>0</v>
      </c>
      <c r="H49" s="706" t="s">
        <v>953</v>
      </c>
      <c r="I49" s="707">
        <v>0</v>
      </c>
    </row>
    <row r="50" spans="1:9" x14ac:dyDescent="0.3">
      <c r="A50" s="1145" t="s">
        <v>954</v>
      </c>
      <c r="B50" s="681" t="s">
        <v>939</v>
      </c>
      <c r="C50" s="741">
        <v>0.5</v>
      </c>
      <c r="D50" s="717" t="s">
        <v>179</v>
      </c>
      <c r="E50" s="718"/>
      <c r="F50" s="704" t="s">
        <v>179</v>
      </c>
      <c r="G50" s="705"/>
      <c r="H50" s="706" t="s">
        <v>905</v>
      </c>
      <c r="I50" s="707">
        <v>0.5</v>
      </c>
    </row>
    <row r="51" spans="1:9" x14ac:dyDescent="0.3">
      <c r="A51" s="1145"/>
      <c r="B51" s="681" t="s">
        <v>940</v>
      </c>
      <c r="C51" s="741"/>
      <c r="D51" s="717" t="s">
        <v>905</v>
      </c>
      <c r="E51" s="718"/>
      <c r="F51" s="704" t="s">
        <v>905</v>
      </c>
      <c r="G51" s="705"/>
      <c r="H51" s="706" t="s">
        <v>905</v>
      </c>
      <c r="I51" s="707"/>
    </row>
    <row r="52" spans="1:9" x14ac:dyDescent="0.3">
      <c r="A52" s="1145"/>
      <c r="B52" s="681" t="s">
        <v>955</v>
      </c>
      <c r="C52" s="741"/>
      <c r="D52" s="717" t="s">
        <v>905</v>
      </c>
      <c r="E52" s="726"/>
      <c r="F52" s="704" t="s">
        <v>905</v>
      </c>
      <c r="G52" s="705"/>
      <c r="H52" s="706" t="s">
        <v>905</v>
      </c>
      <c r="I52" s="707"/>
    </row>
    <row r="53" spans="1:9" x14ac:dyDescent="0.3">
      <c r="A53" s="1145"/>
      <c r="B53" s="681" t="s">
        <v>956</v>
      </c>
      <c r="C53" s="741"/>
      <c r="D53" s="717" t="s">
        <v>905</v>
      </c>
      <c r="E53" s="726"/>
      <c r="F53" s="704" t="s">
        <v>905</v>
      </c>
      <c r="G53" s="705"/>
      <c r="H53" s="706" t="s">
        <v>905</v>
      </c>
      <c r="I53" s="707"/>
    </row>
    <row r="54" spans="1:9" x14ac:dyDescent="0.3">
      <c r="A54" s="1145"/>
      <c r="B54" s="681" t="s">
        <v>957</v>
      </c>
      <c r="C54" s="741">
        <v>1.5</v>
      </c>
      <c r="D54" s="717" t="s">
        <v>958</v>
      </c>
      <c r="E54" s="726"/>
      <c r="F54" s="704" t="s">
        <v>905</v>
      </c>
      <c r="G54" s="705">
        <v>1.5</v>
      </c>
      <c r="H54" s="706" t="s">
        <v>912</v>
      </c>
      <c r="I54" s="707"/>
    </row>
    <row r="55" spans="1:9" ht="15.75" customHeight="1" x14ac:dyDescent="0.3">
      <c r="A55" s="1145" t="s">
        <v>959</v>
      </c>
      <c r="B55" s="681" t="s">
        <v>139</v>
      </c>
      <c r="C55" s="741">
        <v>1</v>
      </c>
      <c r="D55" s="717" t="s">
        <v>139</v>
      </c>
      <c r="E55" s="726">
        <v>1</v>
      </c>
      <c r="F55" s="704" t="s">
        <v>139</v>
      </c>
      <c r="G55" s="705">
        <v>1</v>
      </c>
      <c r="H55" s="706"/>
      <c r="I55" s="743"/>
    </row>
    <row r="56" spans="1:9" ht="16.5" customHeight="1" x14ac:dyDescent="0.3">
      <c r="A56" s="1154"/>
      <c r="B56" s="681" t="s">
        <v>179</v>
      </c>
      <c r="C56" s="741"/>
      <c r="D56" s="717"/>
      <c r="E56" s="726"/>
      <c r="F56" s="704"/>
      <c r="G56" s="705"/>
      <c r="H56" s="706" t="s">
        <v>960</v>
      </c>
      <c r="I56" s="707">
        <v>0</v>
      </c>
    </row>
    <row r="57" spans="1:9" s="670" customFormat="1" x14ac:dyDescent="0.3">
      <c r="A57" s="664" t="s">
        <v>961</v>
      </c>
      <c r="B57" s="665"/>
      <c r="C57" s="744">
        <v>3</v>
      </c>
      <c r="D57" s="667"/>
      <c r="E57" s="668"/>
      <c r="F57" s="669"/>
      <c r="G57" s="668"/>
      <c r="H57" s="669"/>
      <c r="I57" s="668"/>
    </row>
    <row r="58" spans="1:9" x14ac:dyDescent="0.3">
      <c r="A58" s="671"/>
      <c r="B58" s="672"/>
      <c r="C58" s="673"/>
      <c r="D58" s="674" t="s">
        <v>895</v>
      </c>
      <c r="E58" s="675" t="s">
        <v>649</v>
      </c>
      <c r="F58" s="674" t="s">
        <v>895</v>
      </c>
      <c r="G58" s="675" t="s">
        <v>649</v>
      </c>
      <c r="H58" s="674" t="s">
        <v>895</v>
      </c>
      <c r="I58" s="675" t="s">
        <v>649</v>
      </c>
    </row>
    <row r="59" spans="1:9" x14ac:dyDescent="0.3">
      <c r="A59" s="1144" t="s">
        <v>962</v>
      </c>
      <c r="B59" s="681" t="s">
        <v>905</v>
      </c>
      <c r="C59" s="716">
        <v>1</v>
      </c>
      <c r="D59" s="717" t="s">
        <v>905</v>
      </c>
      <c r="E59" s="726">
        <v>1</v>
      </c>
      <c r="F59" s="704" t="s">
        <v>905</v>
      </c>
      <c r="G59" s="705">
        <v>1</v>
      </c>
      <c r="H59" s="706" t="s">
        <v>905</v>
      </c>
      <c r="I59" s="707">
        <v>1</v>
      </c>
    </row>
    <row r="60" spans="1:9" x14ac:dyDescent="0.3">
      <c r="A60" s="1154"/>
      <c r="B60" s="681" t="s">
        <v>179</v>
      </c>
      <c r="C60" s="716">
        <v>0</v>
      </c>
      <c r="D60" s="717"/>
      <c r="E60" s="726"/>
      <c r="F60" s="704"/>
      <c r="G60" s="705"/>
      <c r="H60" s="706"/>
      <c r="I60" s="707"/>
    </row>
    <row r="61" spans="1:9" x14ac:dyDescent="0.3">
      <c r="A61" s="1144" t="s">
        <v>963</v>
      </c>
      <c r="B61" s="681" t="s">
        <v>904</v>
      </c>
      <c r="C61" s="716"/>
      <c r="D61" s="717"/>
      <c r="E61" s="726"/>
      <c r="F61" s="704"/>
      <c r="G61" s="705"/>
      <c r="H61" s="706"/>
      <c r="I61" s="707"/>
    </row>
    <row r="62" spans="1:9" x14ac:dyDescent="0.3">
      <c r="A62" s="1145"/>
      <c r="B62" s="745" t="s">
        <v>1070</v>
      </c>
      <c r="C62" s="716">
        <v>1</v>
      </c>
      <c r="D62" s="717" t="s">
        <v>965</v>
      </c>
      <c r="E62" s="726">
        <v>1</v>
      </c>
      <c r="F62" s="704" t="s">
        <v>964</v>
      </c>
      <c r="G62" s="705">
        <v>1</v>
      </c>
      <c r="H62" s="706"/>
      <c r="I62" s="707"/>
    </row>
    <row r="63" spans="1:9" x14ac:dyDescent="0.3">
      <c r="A63" s="1145"/>
      <c r="B63" s="746" t="s">
        <v>1071</v>
      </c>
      <c r="C63" s="716">
        <v>0</v>
      </c>
      <c r="D63" s="717"/>
      <c r="E63" s="726"/>
      <c r="F63" s="704"/>
      <c r="G63" s="705"/>
      <c r="H63" s="706" t="s">
        <v>179</v>
      </c>
      <c r="I63" s="707">
        <v>0</v>
      </c>
    </row>
    <row r="64" spans="1:9" ht="51" customHeight="1" x14ac:dyDescent="0.3">
      <c r="A64" s="1145"/>
      <c r="B64" s="747" t="s">
        <v>966</v>
      </c>
      <c r="C64" s="716">
        <v>0.5</v>
      </c>
      <c r="D64" s="717" t="s">
        <v>967</v>
      </c>
      <c r="E64" s="726">
        <v>0.5</v>
      </c>
      <c r="F64" s="748"/>
      <c r="G64" s="705"/>
      <c r="H64" s="706"/>
      <c r="I64" s="707"/>
    </row>
    <row r="65" spans="1:9" ht="25.5" customHeight="1" x14ac:dyDescent="0.3">
      <c r="A65" s="1145"/>
      <c r="B65" s="749" t="s">
        <v>968</v>
      </c>
      <c r="C65" s="716">
        <v>1</v>
      </c>
      <c r="D65" s="717"/>
      <c r="E65" s="726"/>
      <c r="F65" s="704" t="s">
        <v>969</v>
      </c>
      <c r="G65" s="705">
        <v>1</v>
      </c>
      <c r="H65" s="706"/>
      <c r="I65" s="707"/>
    </row>
    <row r="66" spans="1:9" x14ac:dyDescent="0.3">
      <c r="A66" s="1154"/>
      <c r="B66" s="724" t="s">
        <v>179</v>
      </c>
      <c r="C66" s="716">
        <v>0</v>
      </c>
      <c r="D66" s="717"/>
      <c r="E66" s="726"/>
      <c r="F66" s="704"/>
      <c r="G66" s="705"/>
      <c r="H66" s="706" t="s">
        <v>179</v>
      </c>
      <c r="I66" s="707">
        <v>0</v>
      </c>
    </row>
    <row r="67" spans="1:9" s="670" customFormat="1" x14ac:dyDescent="0.3">
      <c r="A67" s="733" t="s">
        <v>970</v>
      </c>
      <c r="B67" s="750"/>
      <c r="C67" s="744">
        <v>4</v>
      </c>
      <c r="D67" s="751"/>
      <c r="E67" s="752"/>
      <c r="F67" s="753"/>
      <c r="G67" s="752"/>
      <c r="H67" s="753"/>
      <c r="I67" s="752"/>
    </row>
    <row r="68" spans="1:9" x14ac:dyDescent="0.3">
      <c r="A68" s="671"/>
      <c r="B68" s="672"/>
      <c r="C68" s="673"/>
      <c r="D68" s="674" t="s">
        <v>895</v>
      </c>
      <c r="E68" s="675" t="s">
        <v>649</v>
      </c>
      <c r="F68" s="674" t="s">
        <v>895</v>
      </c>
      <c r="G68" s="675" t="s">
        <v>649</v>
      </c>
      <c r="H68" s="674" t="s">
        <v>895</v>
      </c>
      <c r="I68" s="675" t="s">
        <v>649</v>
      </c>
    </row>
    <row r="69" spans="1:9" x14ac:dyDescent="0.3">
      <c r="A69" s="1152" t="s">
        <v>971</v>
      </c>
      <c r="B69" s="754" t="s">
        <v>139</v>
      </c>
      <c r="C69" s="703">
        <v>0.5</v>
      </c>
      <c r="D69" s="683" t="s">
        <v>139</v>
      </c>
      <c r="E69" s="684">
        <v>0.5</v>
      </c>
      <c r="F69" s="704" t="s">
        <v>139</v>
      </c>
      <c r="G69" s="705">
        <v>0.5</v>
      </c>
      <c r="H69" s="706" t="s">
        <v>139</v>
      </c>
      <c r="I69" s="707">
        <v>0.5</v>
      </c>
    </row>
    <row r="70" spans="1:9" x14ac:dyDescent="0.3">
      <c r="A70" s="1153"/>
      <c r="B70" s="754" t="s">
        <v>179</v>
      </c>
      <c r="C70" s="703"/>
      <c r="D70" s="683"/>
      <c r="E70" s="684"/>
      <c r="F70" s="704"/>
      <c r="G70" s="705"/>
      <c r="H70" s="706"/>
      <c r="I70" s="707"/>
    </row>
    <row r="71" spans="1:9" x14ac:dyDescent="0.3">
      <c r="A71" s="1152" t="s">
        <v>972</v>
      </c>
      <c r="B71" s="754" t="s">
        <v>139</v>
      </c>
      <c r="C71" s="703">
        <v>0.5</v>
      </c>
      <c r="D71" s="683" t="s">
        <v>905</v>
      </c>
      <c r="E71" s="684">
        <v>0.5</v>
      </c>
      <c r="F71" s="704" t="s">
        <v>139</v>
      </c>
      <c r="G71" s="705">
        <v>0.5</v>
      </c>
      <c r="H71" s="706" t="s">
        <v>139</v>
      </c>
      <c r="I71" s="707">
        <v>0.5</v>
      </c>
    </row>
    <row r="72" spans="1:9" x14ac:dyDescent="0.3">
      <c r="A72" s="1153"/>
      <c r="B72" s="754" t="s">
        <v>179</v>
      </c>
      <c r="C72" s="703"/>
      <c r="D72" s="683"/>
      <c r="E72" s="684"/>
      <c r="F72" s="755"/>
      <c r="G72" s="755"/>
      <c r="H72" s="706"/>
      <c r="I72" s="707"/>
    </row>
    <row r="73" spans="1:9" x14ac:dyDescent="0.3">
      <c r="A73" s="1155" t="s">
        <v>973</v>
      </c>
      <c r="B73" s="754" t="s">
        <v>139</v>
      </c>
      <c r="C73" s="703">
        <v>0.5</v>
      </c>
      <c r="D73" s="683" t="s">
        <v>905</v>
      </c>
      <c r="E73" s="684">
        <v>0.5</v>
      </c>
      <c r="F73" s="704"/>
      <c r="G73" s="705"/>
      <c r="H73" s="706"/>
      <c r="I73" s="707"/>
    </row>
    <row r="74" spans="1:9" ht="28.5" customHeight="1" x14ac:dyDescent="0.3">
      <c r="A74" s="1156"/>
      <c r="B74" s="754" t="s">
        <v>179</v>
      </c>
      <c r="C74" s="703"/>
      <c r="D74" s="683"/>
      <c r="E74" s="684"/>
      <c r="F74" s="704" t="s">
        <v>960</v>
      </c>
      <c r="G74" s="705">
        <v>0</v>
      </c>
      <c r="H74" s="706" t="s">
        <v>960</v>
      </c>
      <c r="I74" s="707">
        <v>0</v>
      </c>
    </row>
    <row r="75" spans="1:9" x14ac:dyDescent="0.3">
      <c r="A75" s="1152" t="s">
        <v>974</v>
      </c>
      <c r="B75" s="754" t="s">
        <v>139</v>
      </c>
      <c r="C75" s="703">
        <v>0.5</v>
      </c>
      <c r="D75" s="683" t="s">
        <v>905</v>
      </c>
      <c r="E75" s="684">
        <v>0.5</v>
      </c>
      <c r="F75" s="704" t="s">
        <v>905</v>
      </c>
      <c r="G75" s="705">
        <v>0.5</v>
      </c>
      <c r="H75" s="706" t="s">
        <v>905</v>
      </c>
      <c r="I75" s="707">
        <v>0.5</v>
      </c>
    </row>
    <row r="76" spans="1:9" x14ac:dyDescent="0.3">
      <c r="A76" s="1153"/>
      <c r="B76" s="754" t="s">
        <v>179</v>
      </c>
      <c r="C76" s="703"/>
      <c r="D76" s="683"/>
      <c r="E76" s="684"/>
      <c r="F76" s="704"/>
      <c r="G76" s="705"/>
      <c r="H76" s="706"/>
      <c r="I76" s="707"/>
    </row>
    <row r="77" spans="1:9" x14ac:dyDescent="0.3">
      <c r="A77" s="1152" t="s">
        <v>975</v>
      </c>
      <c r="B77" s="754" t="s">
        <v>139</v>
      </c>
      <c r="C77" s="703">
        <v>0.5</v>
      </c>
      <c r="D77" s="683" t="s">
        <v>905</v>
      </c>
      <c r="E77" s="684">
        <v>0.5</v>
      </c>
      <c r="F77" s="704" t="s">
        <v>905</v>
      </c>
      <c r="G77" s="705">
        <v>0.5</v>
      </c>
      <c r="H77" s="706" t="s">
        <v>905</v>
      </c>
      <c r="I77" s="707">
        <v>0.5</v>
      </c>
    </row>
    <row r="78" spans="1:9" x14ac:dyDescent="0.3">
      <c r="A78" s="1153"/>
      <c r="B78" s="754" t="s">
        <v>179</v>
      </c>
      <c r="C78" s="703"/>
      <c r="D78" s="683"/>
      <c r="E78" s="684"/>
      <c r="F78" s="704"/>
      <c r="G78" s="705"/>
      <c r="H78" s="706"/>
      <c r="I78" s="707"/>
    </row>
    <row r="79" spans="1:9" x14ac:dyDescent="0.3">
      <c r="A79" s="1152" t="s">
        <v>976</v>
      </c>
      <c r="B79" s="754" t="s">
        <v>139</v>
      </c>
      <c r="C79" s="703">
        <v>0.5</v>
      </c>
      <c r="D79" s="683" t="s">
        <v>905</v>
      </c>
      <c r="E79" s="684">
        <v>0.5</v>
      </c>
      <c r="F79" s="704" t="s">
        <v>905</v>
      </c>
      <c r="G79" s="705">
        <v>0.5</v>
      </c>
      <c r="H79" s="756"/>
      <c r="I79" s="756"/>
    </row>
    <row r="80" spans="1:9" ht="27" x14ac:dyDescent="0.3">
      <c r="A80" s="1153"/>
      <c r="B80" s="754" t="s">
        <v>179</v>
      </c>
      <c r="C80" s="703"/>
      <c r="D80" s="683"/>
      <c r="E80" s="684"/>
      <c r="F80" s="704"/>
      <c r="G80" s="705"/>
      <c r="H80" s="706" t="s">
        <v>960</v>
      </c>
      <c r="I80" s="707">
        <v>0</v>
      </c>
    </row>
    <row r="81" spans="1:12" x14ac:dyDescent="0.3">
      <c r="A81" s="1161" t="s">
        <v>977</v>
      </c>
      <c r="B81" s="754" t="s">
        <v>139</v>
      </c>
      <c r="C81" s="703">
        <v>0.5</v>
      </c>
      <c r="D81" s="683" t="s">
        <v>905</v>
      </c>
      <c r="E81" s="684">
        <v>0.5</v>
      </c>
      <c r="F81" s="704" t="s">
        <v>905</v>
      </c>
      <c r="G81" s="705">
        <v>0.5</v>
      </c>
      <c r="H81" s="706" t="s">
        <v>905</v>
      </c>
      <c r="I81" s="707">
        <v>0.5</v>
      </c>
    </row>
    <row r="82" spans="1:12" x14ac:dyDescent="0.3">
      <c r="A82" s="1162"/>
      <c r="B82" s="754" t="s">
        <v>179</v>
      </c>
      <c r="C82" s="703"/>
      <c r="D82" s="683"/>
      <c r="E82" s="684"/>
      <c r="F82" s="704"/>
      <c r="G82" s="705"/>
      <c r="H82" s="706"/>
      <c r="I82" s="707"/>
    </row>
    <row r="83" spans="1:12" x14ac:dyDescent="0.3">
      <c r="A83" s="757" t="s">
        <v>978</v>
      </c>
      <c r="B83" s="754" t="s">
        <v>139</v>
      </c>
      <c r="C83" s="703">
        <v>0.5</v>
      </c>
      <c r="D83" s="683" t="s">
        <v>905</v>
      </c>
      <c r="E83" s="684">
        <v>0.5</v>
      </c>
      <c r="F83" s="704"/>
      <c r="G83" s="705"/>
      <c r="H83" s="706" t="s">
        <v>905</v>
      </c>
      <c r="I83" s="707">
        <v>0.5</v>
      </c>
    </row>
    <row r="84" spans="1:12" ht="27" x14ac:dyDescent="0.3">
      <c r="A84" s="758"/>
      <c r="B84" s="702" t="s">
        <v>179</v>
      </c>
      <c r="C84" s="703"/>
      <c r="D84" s="683"/>
      <c r="E84" s="684"/>
      <c r="F84" s="704" t="s">
        <v>960</v>
      </c>
      <c r="G84" s="705">
        <v>0</v>
      </c>
      <c r="H84" s="706"/>
      <c r="I84" s="707"/>
    </row>
    <row r="85" spans="1:12" x14ac:dyDescent="0.3">
      <c r="A85" s="733" t="s">
        <v>979</v>
      </c>
      <c r="B85" s="734"/>
      <c r="C85" s="712">
        <v>2</v>
      </c>
      <c r="D85" s="736"/>
      <c r="E85" s="737"/>
      <c r="F85" s="738"/>
      <c r="G85" s="737"/>
      <c r="H85" s="753"/>
      <c r="I85" s="752"/>
    </row>
    <row r="86" spans="1:12" x14ac:dyDescent="0.3">
      <c r="A86" s="671"/>
      <c r="B86" s="672"/>
      <c r="C86" s="673"/>
      <c r="D86" s="674" t="s">
        <v>895</v>
      </c>
      <c r="E86" s="675" t="s">
        <v>649</v>
      </c>
      <c r="F86" s="674" t="s">
        <v>895</v>
      </c>
      <c r="G86" s="675" t="s">
        <v>649</v>
      </c>
      <c r="H86" s="674" t="s">
        <v>895</v>
      </c>
      <c r="I86" s="675" t="s">
        <v>649</v>
      </c>
    </row>
    <row r="87" spans="1:12" x14ac:dyDescent="0.3">
      <c r="A87" s="1152" t="s">
        <v>980</v>
      </c>
      <c r="B87" s="754" t="s">
        <v>139</v>
      </c>
      <c r="C87" s="740">
        <v>0.5</v>
      </c>
      <c r="D87" s="683" t="s">
        <v>905</v>
      </c>
      <c r="E87" s="684">
        <v>0.5</v>
      </c>
      <c r="F87" s="704"/>
      <c r="G87" s="705"/>
      <c r="H87" s="706"/>
      <c r="I87" s="759"/>
    </row>
    <row r="88" spans="1:12" ht="27" x14ac:dyDescent="0.3">
      <c r="A88" s="1153"/>
      <c r="B88" s="754" t="s">
        <v>179</v>
      </c>
      <c r="C88" s="740"/>
      <c r="D88" s="683"/>
      <c r="E88" s="684"/>
      <c r="F88" s="704" t="s">
        <v>960</v>
      </c>
      <c r="G88" s="705">
        <v>0</v>
      </c>
      <c r="H88" s="706" t="s">
        <v>960</v>
      </c>
      <c r="I88" s="707">
        <v>0</v>
      </c>
    </row>
    <row r="89" spans="1:12" x14ac:dyDescent="0.3">
      <c r="A89" s="1152" t="s">
        <v>981</v>
      </c>
      <c r="B89" s="754" t="s">
        <v>139</v>
      </c>
      <c r="C89" s="740">
        <v>0.5</v>
      </c>
      <c r="D89" s="683" t="s">
        <v>905</v>
      </c>
      <c r="E89" s="684">
        <v>0.5</v>
      </c>
      <c r="F89" s="704"/>
      <c r="G89" s="705"/>
      <c r="H89" s="706"/>
      <c r="I89" s="759"/>
    </row>
    <row r="90" spans="1:12" ht="27" x14ac:dyDescent="0.3">
      <c r="A90" s="1153"/>
      <c r="B90" s="754" t="s">
        <v>179</v>
      </c>
      <c r="C90" s="740"/>
      <c r="D90" s="683"/>
      <c r="E90" s="684"/>
      <c r="F90" s="704" t="s">
        <v>960</v>
      </c>
      <c r="G90" s="705">
        <v>0</v>
      </c>
      <c r="H90" s="706" t="s">
        <v>960</v>
      </c>
      <c r="I90" s="707">
        <v>0</v>
      </c>
    </row>
    <row r="91" spans="1:12" x14ac:dyDescent="0.3">
      <c r="A91" s="760" t="s">
        <v>982</v>
      </c>
      <c r="B91" s="754" t="s">
        <v>983</v>
      </c>
      <c r="C91" s="740">
        <v>0.5</v>
      </c>
      <c r="D91" s="683" t="s">
        <v>984</v>
      </c>
      <c r="E91" s="684">
        <v>0.5</v>
      </c>
      <c r="F91" s="704"/>
      <c r="G91" s="705"/>
      <c r="H91" s="706"/>
      <c r="I91" s="707"/>
    </row>
    <row r="92" spans="1:12" x14ac:dyDescent="0.3">
      <c r="A92" s="724"/>
      <c r="B92" s="761" t="s">
        <v>985</v>
      </c>
      <c r="C92" s="740"/>
      <c r="D92" s="684"/>
      <c r="E92" s="684"/>
      <c r="F92" s="705" t="s">
        <v>986</v>
      </c>
      <c r="G92" s="705">
        <v>0</v>
      </c>
      <c r="H92" s="706" t="s">
        <v>987</v>
      </c>
      <c r="I92" s="707">
        <v>0</v>
      </c>
    </row>
    <row r="93" spans="1:12" x14ac:dyDescent="0.3">
      <c r="A93" s="724" t="s">
        <v>988</v>
      </c>
      <c r="B93" s="761" t="s">
        <v>139</v>
      </c>
      <c r="C93" s="740">
        <v>0.5</v>
      </c>
      <c r="D93" s="683"/>
      <c r="E93" s="684"/>
      <c r="F93" s="704"/>
      <c r="G93" s="705"/>
      <c r="H93" s="706"/>
      <c r="I93" s="707"/>
    </row>
    <row r="94" spans="1:12" x14ac:dyDescent="0.3">
      <c r="A94" s="724"/>
      <c r="B94" s="761" t="s">
        <v>179</v>
      </c>
      <c r="C94" s="740"/>
      <c r="D94" s="683" t="s">
        <v>179</v>
      </c>
      <c r="E94" s="684">
        <v>0</v>
      </c>
      <c r="F94" s="704" t="s">
        <v>179</v>
      </c>
      <c r="G94" s="705">
        <v>0</v>
      </c>
      <c r="H94" s="706" t="s">
        <v>905</v>
      </c>
      <c r="I94" s="707">
        <v>0.5</v>
      </c>
    </row>
    <row r="95" spans="1:12" x14ac:dyDescent="0.3">
      <c r="A95" s="762"/>
      <c r="B95" s="763"/>
      <c r="C95" s="740"/>
      <c r="D95" s="683"/>
      <c r="E95" s="684"/>
      <c r="F95" s="704"/>
      <c r="G95" s="705"/>
      <c r="H95" s="706"/>
      <c r="I95" s="707"/>
    </row>
    <row r="96" spans="1:12" ht="15.75" customHeight="1" x14ac:dyDescent="0.3">
      <c r="A96" s="733" t="s">
        <v>989</v>
      </c>
      <c r="B96" s="734"/>
      <c r="C96" s="712">
        <v>3</v>
      </c>
      <c r="D96" s="736"/>
      <c r="E96" s="737"/>
      <c r="F96" s="738"/>
      <c r="G96" s="737"/>
      <c r="H96" s="753"/>
      <c r="I96" s="752"/>
      <c r="L96" s="670"/>
    </row>
    <row r="97" spans="1:9" x14ac:dyDescent="0.3">
      <c r="A97" s="671"/>
      <c r="B97" s="672"/>
      <c r="C97" s="673"/>
      <c r="D97" s="674" t="s">
        <v>895</v>
      </c>
      <c r="E97" s="675" t="s">
        <v>649</v>
      </c>
      <c r="F97" s="674" t="s">
        <v>895</v>
      </c>
      <c r="G97" s="675" t="s">
        <v>649</v>
      </c>
      <c r="H97" s="674" t="s">
        <v>895</v>
      </c>
      <c r="I97" s="675" t="s">
        <v>649</v>
      </c>
    </row>
    <row r="98" spans="1:9" x14ac:dyDescent="0.3">
      <c r="A98" s="760" t="s">
        <v>990</v>
      </c>
      <c r="B98" s="764" t="s">
        <v>991</v>
      </c>
      <c r="C98" s="740">
        <v>0.3</v>
      </c>
      <c r="D98" s="683"/>
      <c r="E98" s="684"/>
      <c r="F98" s="704" t="s">
        <v>952</v>
      </c>
      <c r="G98" s="705">
        <v>0.3</v>
      </c>
      <c r="H98" s="706"/>
      <c r="I98" s="707"/>
    </row>
    <row r="99" spans="1:9" x14ac:dyDescent="0.3">
      <c r="A99" s="760"/>
      <c r="B99" s="764" t="s">
        <v>953</v>
      </c>
      <c r="C99" s="740"/>
      <c r="D99" s="683" t="s">
        <v>953</v>
      </c>
      <c r="E99" s="684">
        <v>0</v>
      </c>
      <c r="F99" s="704"/>
      <c r="G99" s="705"/>
      <c r="H99" s="706" t="s">
        <v>953</v>
      </c>
      <c r="I99" s="707">
        <v>0</v>
      </c>
    </row>
    <row r="100" spans="1:9" x14ac:dyDescent="0.3">
      <c r="A100" s="760" t="s">
        <v>945</v>
      </c>
      <c r="B100" s="765" t="s">
        <v>992</v>
      </c>
      <c r="C100" s="740">
        <v>0.3</v>
      </c>
      <c r="D100" s="683"/>
      <c r="E100" s="684"/>
      <c r="F100" s="704"/>
      <c r="G100" s="705"/>
      <c r="H100" s="706" t="s">
        <v>993</v>
      </c>
      <c r="I100" s="707">
        <v>0.3</v>
      </c>
    </row>
    <row r="101" spans="1:9" x14ac:dyDescent="0.3">
      <c r="A101" s="760"/>
      <c r="B101" s="765">
        <v>46</v>
      </c>
      <c r="C101" s="740"/>
      <c r="D101" s="683" t="s">
        <v>994</v>
      </c>
      <c r="E101" s="684">
        <v>0</v>
      </c>
      <c r="F101" s="704" t="s">
        <v>994</v>
      </c>
      <c r="G101" s="705">
        <v>0</v>
      </c>
      <c r="H101" s="706"/>
      <c r="I101" s="707"/>
    </row>
    <row r="102" spans="1:9" x14ac:dyDescent="0.3">
      <c r="A102" s="760" t="s">
        <v>995</v>
      </c>
      <c r="B102" s="764" t="s">
        <v>905</v>
      </c>
      <c r="C102" s="740">
        <v>0.3</v>
      </c>
      <c r="D102" s="683"/>
      <c r="E102" s="684"/>
      <c r="F102" s="704" t="s">
        <v>139</v>
      </c>
      <c r="G102" s="705">
        <v>0.3</v>
      </c>
      <c r="H102" s="706"/>
      <c r="I102" s="707"/>
    </row>
    <row r="103" spans="1:9" x14ac:dyDescent="0.3">
      <c r="A103" s="760"/>
      <c r="B103" s="764" t="s">
        <v>912</v>
      </c>
      <c r="C103" s="740"/>
      <c r="D103" s="683" t="s">
        <v>179</v>
      </c>
      <c r="E103" s="684">
        <v>0</v>
      </c>
      <c r="F103" s="704"/>
      <c r="G103" s="705"/>
      <c r="H103" s="706" t="s">
        <v>179</v>
      </c>
      <c r="I103" s="707">
        <v>0</v>
      </c>
    </row>
    <row r="104" spans="1:9" x14ac:dyDescent="0.3">
      <c r="A104" s="760" t="s">
        <v>996</v>
      </c>
      <c r="B104" s="764" t="s">
        <v>905</v>
      </c>
      <c r="C104" s="740">
        <v>0.3</v>
      </c>
      <c r="D104" s="683" t="s">
        <v>139</v>
      </c>
      <c r="E104" s="684">
        <v>0.3</v>
      </c>
      <c r="F104" s="704"/>
      <c r="G104" s="705"/>
      <c r="H104" s="706"/>
      <c r="I104" s="707"/>
    </row>
    <row r="105" spans="1:9" x14ac:dyDescent="0.3">
      <c r="A105" s="760"/>
      <c r="B105" s="764" t="s">
        <v>912</v>
      </c>
      <c r="C105" s="740"/>
      <c r="D105" s="683"/>
      <c r="E105" s="684"/>
      <c r="F105" s="704" t="s">
        <v>179</v>
      </c>
      <c r="G105" s="705">
        <v>0</v>
      </c>
      <c r="H105" s="706" t="s">
        <v>179</v>
      </c>
      <c r="I105" s="707">
        <v>0</v>
      </c>
    </row>
    <row r="106" spans="1:9" x14ac:dyDescent="0.3">
      <c r="A106" s="760" t="s">
        <v>997</v>
      </c>
      <c r="B106" s="764" t="s">
        <v>905</v>
      </c>
      <c r="C106" s="740">
        <v>0.3</v>
      </c>
      <c r="D106" s="766"/>
      <c r="E106" s="766"/>
      <c r="F106" s="704" t="s">
        <v>139</v>
      </c>
      <c r="G106" s="705">
        <v>0.3</v>
      </c>
      <c r="H106" s="706"/>
      <c r="I106" s="707"/>
    </row>
    <row r="107" spans="1:9" x14ac:dyDescent="0.3">
      <c r="A107" s="760"/>
      <c r="B107" s="764" t="s">
        <v>912</v>
      </c>
      <c r="C107" s="740"/>
      <c r="D107" s="683" t="s">
        <v>179</v>
      </c>
      <c r="E107" s="684">
        <v>0</v>
      </c>
      <c r="F107" s="704"/>
      <c r="G107" s="705"/>
      <c r="H107" s="706" t="s">
        <v>179</v>
      </c>
      <c r="I107" s="707">
        <v>0</v>
      </c>
    </row>
    <row r="108" spans="1:9" x14ac:dyDescent="0.3">
      <c r="A108" s="760" t="s">
        <v>998</v>
      </c>
      <c r="B108" s="764" t="s">
        <v>905</v>
      </c>
      <c r="C108" s="740">
        <v>0.3</v>
      </c>
      <c r="D108" s="683" t="s">
        <v>139</v>
      </c>
      <c r="E108" s="684">
        <v>0.3</v>
      </c>
      <c r="F108" s="704" t="s">
        <v>139</v>
      </c>
      <c r="G108" s="705">
        <v>0.3</v>
      </c>
      <c r="H108" s="706" t="s">
        <v>139</v>
      </c>
      <c r="I108" s="707">
        <v>0.3</v>
      </c>
    </row>
    <row r="109" spans="1:9" x14ac:dyDescent="0.3">
      <c r="A109" s="760"/>
      <c r="B109" s="754" t="s">
        <v>912</v>
      </c>
      <c r="C109" s="703"/>
      <c r="D109" s="683"/>
      <c r="E109" s="684"/>
      <c r="F109" s="704"/>
      <c r="G109" s="705"/>
      <c r="H109" s="706"/>
      <c r="I109" s="707"/>
    </row>
    <row r="110" spans="1:9" x14ac:dyDescent="0.3">
      <c r="A110" s="767" t="s">
        <v>999</v>
      </c>
      <c r="B110" s="754" t="s">
        <v>905</v>
      </c>
      <c r="C110" s="740">
        <v>0.3</v>
      </c>
      <c r="D110" s="683" t="s">
        <v>139</v>
      </c>
      <c r="E110" s="684">
        <v>0.3</v>
      </c>
      <c r="F110" s="704" t="s">
        <v>139</v>
      </c>
      <c r="G110" s="705">
        <v>0.3</v>
      </c>
      <c r="H110" s="706" t="s">
        <v>139</v>
      </c>
      <c r="I110" s="707">
        <v>0.3</v>
      </c>
    </row>
    <row r="111" spans="1:9" x14ac:dyDescent="0.3">
      <c r="A111" s="768"/>
      <c r="B111" s="754" t="s">
        <v>912</v>
      </c>
      <c r="C111" s="703"/>
      <c r="D111" s="683"/>
      <c r="E111" s="684"/>
      <c r="F111" s="704"/>
      <c r="G111" s="705"/>
      <c r="H111" s="706"/>
      <c r="I111" s="707"/>
    </row>
    <row r="112" spans="1:9" x14ac:dyDescent="0.3">
      <c r="A112" s="769" t="s">
        <v>1000</v>
      </c>
      <c r="B112" s="754" t="s">
        <v>943</v>
      </c>
      <c r="C112" s="740">
        <v>0.3</v>
      </c>
      <c r="D112" s="683" t="s">
        <v>139</v>
      </c>
      <c r="E112" s="684">
        <v>0.3</v>
      </c>
      <c r="F112" s="704" t="s">
        <v>139</v>
      </c>
      <c r="G112" s="705">
        <v>0.3</v>
      </c>
      <c r="H112" s="706" t="s">
        <v>139</v>
      </c>
      <c r="I112" s="707">
        <v>0.3</v>
      </c>
    </row>
    <row r="113" spans="1:9" x14ac:dyDescent="0.3">
      <c r="A113" s="768"/>
      <c r="B113" s="754" t="s">
        <v>1001</v>
      </c>
      <c r="C113" s="703"/>
      <c r="D113" s="683"/>
      <c r="E113" s="684"/>
      <c r="F113" s="704"/>
      <c r="G113" s="705"/>
      <c r="H113" s="706"/>
      <c r="I113" s="707"/>
    </row>
    <row r="114" spans="1:9" x14ac:dyDescent="0.3">
      <c r="A114" s="769" t="s">
        <v>1002</v>
      </c>
      <c r="B114" s="754"/>
      <c r="C114" s="703"/>
      <c r="D114" s="683"/>
      <c r="E114" s="684"/>
      <c r="F114" s="704"/>
      <c r="G114" s="705"/>
      <c r="H114" s="706"/>
      <c r="I114" s="707"/>
    </row>
    <row r="115" spans="1:9" x14ac:dyDescent="0.3">
      <c r="A115" s="770" t="s">
        <v>1003</v>
      </c>
      <c r="B115" s="754" t="s">
        <v>1004</v>
      </c>
      <c r="C115" s="703">
        <v>0</v>
      </c>
      <c r="D115" s="683" t="s">
        <v>1005</v>
      </c>
      <c r="E115" s="684">
        <v>0</v>
      </c>
      <c r="F115" s="704"/>
      <c r="G115" s="705"/>
      <c r="H115" s="706" t="s">
        <v>1006</v>
      </c>
      <c r="I115" s="707">
        <v>0</v>
      </c>
    </row>
    <row r="116" spans="1:9" x14ac:dyDescent="0.3">
      <c r="A116" s="769"/>
      <c r="B116" s="754" t="s">
        <v>1007</v>
      </c>
      <c r="C116" s="703">
        <v>0.15</v>
      </c>
      <c r="D116" s="683"/>
      <c r="E116" s="684"/>
      <c r="F116" s="704"/>
      <c r="G116" s="705"/>
      <c r="H116" s="706"/>
      <c r="I116" s="707"/>
    </row>
    <row r="117" spans="1:9" x14ac:dyDescent="0.3">
      <c r="A117" s="769"/>
      <c r="B117" s="754" t="s">
        <v>1008</v>
      </c>
      <c r="C117" s="703">
        <v>0.3</v>
      </c>
      <c r="D117" s="683"/>
      <c r="E117" s="684"/>
      <c r="F117" s="704" t="s">
        <v>1009</v>
      </c>
      <c r="G117" s="705">
        <v>0.3</v>
      </c>
      <c r="H117" s="706"/>
      <c r="I117" s="707"/>
    </row>
    <row r="118" spans="1:9" x14ac:dyDescent="0.3">
      <c r="A118" s="769" t="s">
        <v>1010</v>
      </c>
      <c r="B118" s="754" t="s">
        <v>905</v>
      </c>
      <c r="C118" s="703">
        <v>0.3</v>
      </c>
      <c r="D118" s="683" t="s">
        <v>905</v>
      </c>
      <c r="E118" s="684">
        <v>0.3</v>
      </c>
      <c r="F118" s="704"/>
      <c r="G118" s="705"/>
      <c r="H118" s="706" t="s">
        <v>905</v>
      </c>
      <c r="I118" s="707">
        <v>0.3</v>
      </c>
    </row>
    <row r="119" spans="1:9" x14ac:dyDescent="0.3">
      <c r="A119" s="769"/>
      <c r="B119" s="754" t="s">
        <v>912</v>
      </c>
      <c r="C119" s="703"/>
      <c r="D119" s="683"/>
      <c r="E119" s="684"/>
      <c r="F119" s="704" t="s">
        <v>912</v>
      </c>
      <c r="G119" s="705"/>
      <c r="H119" s="706"/>
      <c r="I119" s="707"/>
    </row>
    <row r="120" spans="1:9" s="670" customFormat="1" x14ac:dyDescent="0.3">
      <c r="A120" s="771" t="s">
        <v>1011</v>
      </c>
      <c r="B120" s="665"/>
      <c r="C120" s="744">
        <v>2</v>
      </c>
      <c r="D120" s="667"/>
      <c r="E120" s="668"/>
      <c r="F120" s="669"/>
      <c r="G120" s="668"/>
      <c r="H120" s="753"/>
      <c r="I120" s="752"/>
    </row>
    <row r="121" spans="1:9" x14ac:dyDescent="0.3">
      <c r="A121" s="671"/>
      <c r="B121" s="672"/>
      <c r="C121" s="673"/>
      <c r="D121" s="674" t="s">
        <v>895</v>
      </c>
      <c r="E121" s="675" t="s">
        <v>649</v>
      </c>
      <c r="F121" s="674" t="s">
        <v>895</v>
      </c>
      <c r="G121" s="675" t="s">
        <v>649</v>
      </c>
      <c r="H121" s="674" t="s">
        <v>895</v>
      </c>
      <c r="I121" s="675" t="s">
        <v>649</v>
      </c>
    </row>
    <row r="122" spans="1:9" x14ac:dyDescent="0.3">
      <c r="A122" s="1163" t="s">
        <v>1012</v>
      </c>
      <c r="B122" s="689" t="s">
        <v>1013</v>
      </c>
      <c r="C122" s="716">
        <v>0</v>
      </c>
      <c r="D122" s="683" t="s">
        <v>1014</v>
      </c>
      <c r="E122" s="772">
        <v>0</v>
      </c>
      <c r="F122" s="773"/>
      <c r="G122" s="705"/>
      <c r="H122" s="706" t="s">
        <v>1015</v>
      </c>
      <c r="I122" s="709">
        <v>0</v>
      </c>
    </row>
    <row r="123" spans="1:9" x14ac:dyDescent="0.3">
      <c r="A123" s="1157"/>
      <c r="B123" s="689" t="s">
        <v>1016</v>
      </c>
      <c r="C123" s="716">
        <v>0.4</v>
      </c>
      <c r="D123" s="774"/>
      <c r="E123" s="772"/>
      <c r="F123" s="704" t="s">
        <v>1017</v>
      </c>
      <c r="G123" s="705">
        <v>0.4</v>
      </c>
      <c r="H123" s="723"/>
      <c r="I123" s="709"/>
    </row>
    <row r="124" spans="1:9" x14ac:dyDescent="0.3">
      <c r="A124" s="1158" t="s">
        <v>1018</v>
      </c>
      <c r="B124" s="689" t="s">
        <v>905</v>
      </c>
      <c r="C124" s="716">
        <v>0.4</v>
      </c>
      <c r="D124" s="683" t="s">
        <v>905</v>
      </c>
      <c r="E124" s="772">
        <v>0.4</v>
      </c>
      <c r="F124" s="704" t="s">
        <v>905</v>
      </c>
      <c r="G124" s="705">
        <v>0.4</v>
      </c>
      <c r="H124" s="706" t="s">
        <v>905</v>
      </c>
      <c r="I124" s="709">
        <v>0.4</v>
      </c>
    </row>
    <row r="125" spans="1:9" x14ac:dyDescent="0.3">
      <c r="A125" s="1158"/>
      <c r="B125" s="689" t="s">
        <v>912</v>
      </c>
      <c r="C125" s="716"/>
      <c r="D125" s="774"/>
      <c r="E125" s="772"/>
      <c r="F125" s="773"/>
      <c r="G125" s="705"/>
      <c r="H125" s="723"/>
      <c r="I125" s="709"/>
    </row>
    <row r="126" spans="1:9" x14ac:dyDescent="0.3">
      <c r="A126" s="1158" t="s">
        <v>1019</v>
      </c>
      <c r="B126" s="689" t="s">
        <v>905</v>
      </c>
      <c r="C126" s="775">
        <v>0.4</v>
      </c>
      <c r="D126" s="683" t="s">
        <v>905</v>
      </c>
      <c r="E126" s="772">
        <v>0.4</v>
      </c>
      <c r="F126" s="773"/>
      <c r="G126" s="705"/>
      <c r="H126" s="723"/>
      <c r="I126" s="709"/>
    </row>
    <row r="127" spans="1:9" x14ac:dyDescent="0.3">
      <c r="A127" s="1158"/>
      <c r="B127" s="689" t="s">
        <v>912</v>
      </c>
      <c r="C127" s="716"/>
      <c r="D127" s="774"/>
      <c r="E127" s="772"/>
      <c r="F127" s="704" t="s">
        <v>912</v>
      </c>
      <c r="G127" s="705"/>
      <c r="H127" s="706" t="s">
        <v>912</v>
      </c>
      <c r="I127" s="709"/>
    </row>
    <row r="128" spans="1:9" x14ac:dyDescent="0.3">
      <c r="A128" s="1157" t="s">
        <v>1020</v>
      </c>
      <c r="B128" s="689" t="s">
        <v>139</v>
      </c>
      <c r="C128" s="716">
        <v>0.4</v>
      </c>
      <c r="D128" s="774" t="s">
        <v>905</v>
      </c>
      <c r="E128" s="772">
        <f>C128</f>
        <v>0.4</v>
      </c>
      <c r="F128" s="704" t="s">
        <v>905</v>
      </c>
      <c r="G128" s="705">
        <f>C128</f>
        <v>0.4</v>
      </c>
      <c r="H128" s="706" t="s">
        <v>905</v>
      </c>
      <c r="I128" s="709">
        <f>C128</f>
        <v>0.4</v>
      </c>
    </row>
    <row r="129" spans="1:9" x14ac:dyDescent="0.3">
      <c r="A129" s="1157"/>
      <c r="B129" s="689" t="s">
        <v>179</v>
      </c>
      <c r="C129" s="716"/>
      <c r="D129" s="774"/>
      <c r="E129" s="772"/>
      <c r="F129" s="773"/>
      <c r="G129" s="705"/>
      <c r="H129" s="723"/>
      <c r="I129" s="709"/>
    </row>
    <row r="130" spans="1:9" x14ac:dyDescent="0.3">
      <c r="A130" s="1158" t="s">
        <v>1021</v>
      </c>
      <c r="B130" s="776" t="s">
        <v>904</v>
      </c>
      <c r="C130" s="716">
        <v>0.4</v>
      </c>
      <c r="D130" s="774"/>
      <c r="E130" s="772"/>
      <c r="F130" s="704" t="s">
        <v>905</v>
      </c>
      <c r="G130" s="705">
        <v>0.4</v>
      </c>
      <c r="H130" s="723"/>
      <c r="I130" s="709"/>
    </row>
    <row r="131" spans="1:9" x14ac:dyDescent="0.3">
      <c r="A131" s="1159"/>
      <c r="B131" s="776" t="s">
        <v>179</v>
      </c>
      <c r="C131" s="716"/>
      <c r="D131" s="683" t="s">
        <v>912</v>
      </c>
      <c r="E131" s="772"/>
      <c r="F131" s="777"/>
      <c r="G131" s="755"/>
      <c r="H131" s="706" t="s">
        <v>912</v>
      </c>
      <c r="I131" s="709"/>
    </row>
    <row r="132" spans="1:9" s="670" customFormat="1" x14ac:dyDescent="0.3">
      <c r="A132" s="771" t="s">
        <v>1022</v>
      </c>
      <c r="B132" s="665"/>
      <c r="C132" s="744">
        <v>1</v>
      </c>
      <c r="D132" s="667"/>
      <c r="E132" s="668"/>
      <c r="F132" s="669"/>
      <c r="G132" s="668"/>
      <c r="H132" s="753"/>
      <c r="I132" s="752"/>
    </row>
    <row r="133" spans="1:9" ht="14.25" customHeight="1" x14ac:dyDescent="0.3">
      <c r="A133" s="671"/>
      <c r="B133" s="672"/>
      <c r="C133" s="673"/>
      <c r="D133" s="674" t="s">
        <v>895</v>
      </c>
      <c r="E133" s="675" t="s">
        <v>649</v>
      </c>
      <c r="F133" s="674" t="s">
        <v>895</v>
      </c>
      <c r="G133" s="675" t="s">
        <v>649</v>
      </c>
      <c r="H133" s="674" t="s">
        <v>895</v>
      </c>
      <c r="I133" s="675" t="s">
        <v>649</v>
      </c>
    </row>
    <row r="134" spans="1:9" x14ac:dyDescent="0.3">
      <c r="A134" s="1160" t="s">
        <v>1023</v>
      </c>
      <c r="B134" s="739" t="s">
        <v>139</v>
      </c>
      <c r="C134" s="775">
        <v>0.5</v>
      </c>
      <c r="D134" s="683"/>
      <c r="E134" s="684"/>
      <c r="F134" s="704"/>
      <c r="G134" s="705"/>
      <c r="H134" s="706" t="s">
        <v>905</v>
      </c>
      <c r="I134" s="707">
        <v>0.5</v>
      </c>
    </row>
    <row r="135" spans="1:9" x14ac:dyDescent="0.3">
      <c r="A135" s="1160"/>
      <c r="B135" s="739" t="s">
        <v>179</v>
      </c>
      <c r="C135" s="778"/>
      <c r="D135" s="683" t="s">
        <v>179</v>
      </c>
      <c r="E135" s="684"/>
      <c r="F135" s="704" t="s">
        <v>912</v>
      </c>
      <c r="G135" s="705"/>
      <c r="H135" s="706"/>
      <c r="I135" s="707"/>
    </row>
    <row r="136" spans="1:9" x14ac:dyDescent="0.3">
      <c r="A136" s="1160" t="s">
        <v>1024</v>
      </c>
      <c r="B136" s="739" t="s">
        <v>1025</v>
      </c>
      <c r="C136" s="775">
        <v>0.5</v>
      </c>
      <c r="D136" s="683" t="s">
        <v>1026</v>
      </c>
      <c r="E136" s="684">
        <v>0.5</v>
      </c>
      <c r="F136" s="755"/>
      <c r="G136" s="705"/>
      <c r="H136" s="706" t="s">
        <v>1026</v>
      </c>
      <c r="I136" s="707">
        <v>0.5</v>
      </c>
    </row>
    <row r="137" spans="1:9" x14ac:dyDescent="0.3">
      <c r="A137" s="1160"/>
      <c r="B137" s="779" t="s">
        <v>1027</v>
      </c>
      <c r="C137" s="716">
        <v>0.25</v>
      </c>
      <c r="D137" s="774"/>
      <c r="E137" s="772"/>
      <c r="F137" s="704" t="s">
        <v>1028</v>
      </c>
      <c r="G137" s="705">
        <v>0.25</v>
      </c>
      <c r="H137" s="723"/>
      <c r="I137" s="709"/>
    </row>
    <row r="138" spans="1:9" x14ac:dyDescent="0.3">
      <c r="A138" s="780"/>
      <c r="B138" s="780"/>
      <c r="C138" s="781"/>
      <c r="D138" s="782"/>
      <c r="E138" s="783"/>
      <c r="F138" s="784"/>
      <c r="G138" s="785"/>
      <c r="H138" s="786"/>
      <c r="I138" s="787"/>
    </row>
    <row r="139" spans="1:9" x14ac:dyDescent="0.3">
      <c r="A139" s="780"/>
      <c r="B139" s="780"/>
      <c r="C139" s="781"/>
      <c r="D139" s="782"/>
      <c r="E139" s="783"/>
      <c r="F139" s="784"/>
      <c r="G139" s="785"/>
      <c r="H139" s="786"/>
      <c r="I139" s="787"/>
    </row>
    <row r="140" spans="1:9" s="796" customFormat="1" ht="15.6" x14ac:dyDescent="0.3">
      <c r="A140" s="788" t="s">
        <v>1029</v>
      </c>
      <c r="B140" s="789"/>
      <c r="C140" s="790"/>
      <c r="D140" s="791"/>
      <c r="E140" s="792"/>
      <c r="F140" s="793"/>
      <c r="G140" s="792"/>
      <c r="H140" s="794"/>
      <c r="I140" s="795"/>
    </row>
    <row r="141" spans="1:9" ht="15.6" x14ac:dyDescent="0.3">
      <c r="A141" s="797"/>
      <c r="B141" s="797"/>
      <c r="C141" s="798">
        <f>SUM(C2,C29,C42,C57,C67,C85,C96,C120,C132)</f>
        <v>30</v>
      </c>
      <c r="D141" s="798"/>
      <c r="E141" s="798">
        <f>SUM(E5:E136)</f>
        <v>21.45</v>
      </c>
      <c r="F141" s="798"/>
      <c r="G141" s="798">
        <f>SUM(G5:G137)</f>
        <v>19.95</v>
      </c>
      <c r="H141" s="798"/>
      <c r="I141" s="798">
        <f>SUM(I5:I136)</f>
        <v>15.550000000000004</v>
      </c>
    </row>
    <row r="148" spans="1:9" x14ac:dyDescent="0.3">
      <c r="A148" s="118" t="s">
        <v>209</v>
      </c>
      <c r="B148" s="1132" t="s">
        <v>784</v>
      </c>
      <c r="C148" s="1132"/>
      <c r="D148"/>
      <c r="E148" s="917" t="s">
        <v>210</v>
      </c>
      <c r="F148"/>
      <c r="G148"/>
      <c r="H148"/>
      <c r="I148"/>
    </row>
    <row r="149" spans="1:9" x14ac:dyDescent="0.3">
      <c r="A149"/>
      <c r="B149"/>
      <c r="C149"/>
      <c r="D149"/>
      <c r="E149" s="918"/>
      <c r="F149"/>
      <c r="G149"/>
      <c r="H149"/>
      <c r="I149"/>
    </row>
    <row r="150" spans="1:9" x14ac:dyDescent="0.3">
      <c r="A150"/>
      <c r="B150"/>
      <c r="C150"/>
      <c r="D150"/>
      <c r="E150" s="918"/>
      <c r="F150"/>
      <c r="G150"/>
      <c r="H150"/>
      <c r="I150"/>
    </row>
    <row r="151" spans="1:9" x14ac:dyDescent="0.3">
      <c r="A151"/>
      <c r="B151"/>
      <c r="C151"/>
      <c r="D151"/>
      <c r="E151" s="918"/>
      <c r="F151"/>
      <c r="G151"/>
      <c r="H151"/>
      <c r="I151"/>
    </row>
    <row r="152" spans="1:9" x14ac:dyDescent="0.3">
      <c r="A152" s="118" t="s">
        <v>785</v>
      </c>
      <c r="B152" s="118" t="s">
        <v>786</v>
      </c>
      <c r="C152"/>
      <c r="D152"/>
      <c r="E152" s="917" t="s">
        <v>787</v>
      </c>
      <c r="F152"/>
      <c r="G152"/>
      <c r="H152"/>
      <c r="I152"/>
    </row>
  </sheetData>
  <mergeCells count="41">
    <mergeCell ref="A128:A129"/>
    <mergeCell ref="A130:A131"/>
    <mergeCell ref="A134:A135"/>
    <mergeCell ref="A136:A137"/>
    <mergeCell ref="A81:A82"/>
    <mergeCell ref="A87:A88"/>
    <mergeCell ref="A89:A90"/>
    <mergeCell ref="A122:A123"/>
    <mergeCell ref="A124:A125"/>
    <mergeCell ref="A126:A127"/>
    <mergeCell ref="A34:A35"/>
    <mergeCell ref="A36:A37"/>
    <mergeCell ref="A39:A40"/>
    <mergeCell ref="A79:A80"/>
    <mergeCell ref="A46:A47"/>
    <mergeCell ref="A48:A49"/>
    <mergeCell ref="A50:A54"/>
    <mergeCell ref="A55:A56"/>
    <mergeCell ref="A59:A60"/>
    <mergeCell ref="A61:A66"/>
    <mergeCell ref="A69:A70"/>
    <mergeCell ref="A71:A72"/>
    <mergeCell ref="A73:A74"/>
    <mergeCell ref="A75:A76"/>
    <mergeCell ref="A77:A78"/>
    <mergeCell ref="B148:C148"/>
    <mergeCell ref="A13:A14"/>
    <mergeCell ref="D1:E1"/>
    <mergeCell ref="F1:G1"/>
    <mergeCell ref="H1:I1"/>
    <mergeCell ref="A5:A7"/>
    <mergeCell ref="A8:A9"/>
    <mergeCell ref="A44:A45"/>
    <mergeCell ref="A15:A16"/>
    <mergeCell ref="A17:A18"/>
    <mergeCell ref="A19:A20"/>
    <mergeCell ref="A21:A22"/>
    <mergeCell ref="A23:A24"/>
    <mergeCell ref="A25:A26"/>
    <mergeCell ref="A27:A28"/>
    <mergeCell ref="A32:A33"/>
  </mergeCells>
  <pageMargins left="0.70866141732283472" right="0.70866141732283472" top="0.74803149606299213" bottom="0.74803149606299213" header="0.31496062992125984" footer="0.31496062992125984"/>
  <pageSetup paperSize="9" scale="67" fitToHeight="3" orientation="landscape" horizontalDpi="1200" verticalDpi="1200" r:id="rId1"/>
  <rowBreaks count="3" manualBreakCount="3">
    <brk id="41" max="16383" man="1"/>
    <brk id="84" max="16383" man="1"/>
    <brk id="11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selection activeCell="A34" sqref="A34"/>
    </sheetView>
  </sheetViews>
  <sheetFormatPr baseColWidth="10" defaultColWidth="11.44140625" defaultRowHeight="14.4" x14ac:dyDescent="0.3"/>
  <cols>
    <col min="1" max="1" width="48.109375" style="663" customWidth="1"/>
    <col min="2" max="2" width="12.33203125" style="663" bestFit="1" customWidth="1"/>
    <col min="3" max="3" width="11.44140625" style="663"/>
    <col min="4" max="4" width="13.88671875" style="663" bestFit="1" customWidth="1"/>
    <col min="5" max="10" width="11.5546875" style="663" bestFit="1" customWidth="1"/>
    <col min="11" max="16384" width="11.44140625" style="663"/>
  </cols>
  <sheetData>
    <row r="1" spans="1:13" s="799" customFormat="1" ht="40.5" customHeight="1" x14ac:dyDescent="0.25">
      <c r="A1" s="1175" t="s">
        <v>1030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</row>
    <row r="2" spans="1:13" s="797" customFormat="1" ht="38.25" customHeight="1" x14ac:dyDescent="0.25">
      <c r="A2" s="1176" t="s">
        <v>1031</v>
      </c>
      <c r="B2" s="1176"/>
      <c r="C2" s="1176"/>
      <c r="D2" s="1176"/>
      <c r="E2" s="1164" t="s">
        <v>1032</v>
      </c>
      <c r="F2" s="1165"/>
      <c r="G2" s="1166" t="s">
        <v>309</v>
      </c>
      <c r="H2" s="1166"/>
      <c r="I2" s="1167" t="s">
        <v>312</v>
      </c>
      <c r="J2" s="1168"/>
      <c r="L2" s="800"/>
      <c r="M2" s="801"/>
    </row>
    <row r="3" spans="1:13" s="797" customFormat="1" ht="21" customHeight="1" x14ac:dyDescent="0.25">
      <c r="A3" s="664" t="s">
        <v>1033</v>
      </c>
      <c r="B3" s="665"/>
      <c r="C3" s="666"/>
      <c r="D3" s="667"/>
      <c r="E3" s="668"/>
      <c r="F3" s="669"/>
      <c r="G3" s="668"/>
      <c r="H3" s="669"/>
      <c r="I3" s="668"/>
      <c r="J3" s="668"/>
      <c r="L3" s="800"/>
      <c r="M3" s="801"/>
    </row>
    <row r="4" spans="1:13" s="797" customFormat="1" ht="13.5" customHeight="1" x14ac:dyDescent="0.25">
      <c r="A4" s="802" t="s">
        <v>1034</v>
      </c>
      <c r="B4" s="803" t="s">
        <v>1035</v>
      </c>
      <c r="C4" s="803"/>
      <c r="D4" s="804" t="s">
        <v>649</v>
      </c>
      <c r="E4" s="805" t="s">
        <v>590</v>
      </c>
      <c r="F4" s="806" t="s">
        <v>649</v>
      </c>
      <c r="G4" s="805" t="s">
        <v>590</v>
      </c>
      <c r="H4" s="806" t="s">
        <v>649</v>
      </c>
      <c r="I4" s="805" t="s">
        <v>590</v>
      </c>
      <c r="J4" s="807" t="s">
        <v>649</v>
      </c>
    </row>
    <row r="5" spans="1:13" s="797" customFormat="1" ht="13.5" customHeight="1" x14ac:dyDescent="0.25">
      <c r="A5" s="802"/>
      <c r="B5" s="803"/>
      <c r="C5" s="803"/>
      <c r="D5" s="804"/>
      <c r="E5" s="805"/>
      <c r="F5" s="806"/>
      <c r="G5" s="805"/>
      <c r="H5" s="806"/>
      <c r="I5" s="805"/>
      <c r="J5" s="807"/>
      <c r="M5" s="808"/>
    </row>
    <row r="6" spans="1:13" s="818" customFormat="1" ht="13.5" customHeight="1" x14ac:dyDescent="0.25">
      <c r="A6" s="809" t="s">
        <v>1036</v>
      </c>
      <c r="B6" s="810">
        <v>1560</v>
      </c>
      <c r="C6" s="810"/>
      <c r="D6" s="811">
        <f>(B6*30)/B20</f>
        <v>2.002163020562385</v>
      </c>
      <c r="E6" s="812"/>
      <c r="F6" s="813"/>
      <c r="G6" s="814" t="s">
        <v>388</v>
      </c>
      <c r="H6" s="815">
        <v>2</v>
      </c>
      <c r="I6" s="816"/>
      <c r="J6" s="817"/>
      <c r="L6" s="797"/>
      <c r="M6" s="797"/>
    </row>
    <row r="7" spans="1:13" s="818" customFormat="1" ht="13.5" customHeight="1" x14ac:dyDescent="0.25">
      <c r="A7" s="819" t="s">
        <v>1037</v>
      </c>
      <c r="B7" s="820"/>
      <c r="C7" s="820"/>
      <c r="D7" s="811">
        <f>(B7*30)/B20</f>
        <v>0</v>
      </c>
      <c r="E7" s="812"/>
      <c r="F7" s="813"/>
      <c r="G7" s="814"/>
      <c r="H7" s="815"/>
      <c r="I7" s="816"/>
      <c r="J7" s="817"/>
      <c r="L7" s="797"/>
      <c r="M7" s="797"/>
    </row>
    <row r="8" spans="1:13" s="818" customFormat="1" ht="13.5" customHeight="1" x14ac:dyDescent="0.25">
      <c r="A8" s="819" t="s">
        <v>1038</v>
      </c>
      <c r="B8" s="810">
        <v>240</v>
      </c>
      <c r="C8" s="810"/>
      <c r="D8" s="811">
        <f>(B8*30)/B20</f>
        <v>0.3080250800865208</v>
      </c>
      <c r="E8" s="812"/>
      <c r="F8" s="813"/>
      <c r="G8" s="814" t="s">
        <v>388</v>
      </c>
      <c r="H8" s="815">
        <v>0.31</v>
      </c>
      <c r="I8" s="816" t="s">
        <v>388</v>
      </c>
      <c r="J8" s="817">
        <v>0.31</v>
      </c>
      <c r="L8" s="797"/>
      <c r="M8" s="797"/>
    </row>
    <row r="9" spans="1:13" s="818" customFormat="1" ht="13.5" customHeight="1" x14ac:dyDescent="0.25">
      <c r="A9" s="819" t="s">
        <v>1039</v>
      </c>
      <c r="B9" s="810">
        <v>832</v>
      </c>
      <c r="C9" s="810"/>
      <c r="D9" s="811">
        <f>(B9*30)/$B20</f>
        <v>1.0678202776332721</v>
      </c>
      <c r="E9" s="812"/>
      <c r="F9" s="813"/>
      <c r="G9" s="814"/>
      <c r="H9" s="815"/>
      <c r="I9" s="816"/>
      <c r="J9" s="817"/>
      <c r="L9" s="797"/>
      <c r="M9" s="797"/>
    </row>
    <row r="10" spans="1:13" s="818" customFormat="1" ht="13.5" customHeight="1" x14ac:dyDescent="0.3">
      <c r="A10" s="819" t="s">
        <v>1040</v>
      </c>
      <c r="B10" s="810">
        <v>4042</v>
      </c>
      <c r="C10" s="810"/>
      <c r="D10" s="811">
        <f>(B10*30)/B20</f>
        <v>5.1876557237904883</v>
      </c>
      <c r="E10" s="812"/>
      <c r="F10" s="813"/>
      <c r="G10" s="814" t="s">
        <v>388</v>
      </c>
      <c r="H10" s="815">
        <v>5.19</v>
      </c>
      <c r="I10" s="816"/>
      <c r="J10" s="817"/>
      <c r="L10" s="663"/>
      <c r="M10" s="663"/>
    </row>
    <row r="11" spans="1:13" s="818" customFormat="1" ht="13.5" customHeight="1" x14ac:dyDescent="0.3">
      <c r="A11" s="821" t="s">
        <v>1041</v>
      </c>
      <c r="B11" s="810">
        <v>414</v>
      </c>
      <c r="C11" s="810"/>
      <c r="D11" s="811">
        <f>(B11*30)/$B20</f>
        <v>0.5313432631492484</v>
      </c>
      <c r="E11" s="812"/>
      <c r="F11" s="813"/>
      <c r="G11" s="814"/>
      <c r="H11" s="815"/>
      <c r="I11" s="816" t="s">
        <v>388</v>
      </c>
      <c r="J11" s="817">
        <v>0.53</v>
      </c>
      <c r="L11" s="663"/>
      <c r="M11" s="663"/>
    </row>
    <row r="12" spans="1:13" s="818" customFormat="1" ht="13.5" customHeight="1" x14ac:dyDescent="0.3">
      <c r="A12" s="809" t="s">
        <v>1042</v>
      </c>
      <c r="B12" s="810">
        <v>1000</v>
      </c>
      <c r="C12" s="810"/>
      <c r="D12" s="811">
        <f>(B12*30)/$B20</f>
        <v>1.2834378336938368</v>
      </c>
      <c r="E12" s="812"/>
      <c r="F12" s="813"/>
      <c r="G12" s="814"/>
      <c r="H12" s="815"/>
      <c r="I12" s="816" t="s">
        <v>388</v>
      </c>
      <c r="J12" s="817">
        <v>1.28</v>
      </c>
      <c r="L12" s="663"/>
      <c r="M12" s="663"/>
    </row>
    <row r="13" spans="1:13" s="818" customFormat="1" ht="13.5" customHeight="1" x14ac:dyDescent="0.3">
      <c r="A13" s="809" t="s">
        <v>1043</v>
      </c>
      <c r="B13" s="810">
        <v>1348.72</v>
      </c>
      <c r="C13" s="810"/>
      <c r="D13" s="811">
        <f>(B13*30)/$B20</f>
        <v>1.7309982750595514</v>
      </c>
      <c r="E13" s="812" t="s">
        <v>388</v>
      </c>
      <c r="F13" s="813">
        <v>1.73</v>
      </c>
      <c r="G13" s="814"/>
      <c r="H13" s="815"/>
      <c r="I13" s="816"/>
      <c r="J13" s="817"/>
      <c r="L13" s="663"/>
      <c r="M13" s="663"/>
    </row>
    <row r="14" spans="1:13" s="818" customFormat="1" ht="29.4" customHeight="1" x14ac:dyDescent="0.3">
      <c r="A14" s="809" t="s">
        <v>1044</v>
      </c>
      <c r="B14" s="810">
        <v>0</v>
      </c>
      <c r="C14" s="810"/>
      <c r="D14" s="811">
        <f>(B14*30)/B20</f>
        <v>0</v>
      </c>
      <c r="E14" s="812" t="s">
        <v>388</v>
      </c>
      <c r="F14" s="813">
        <v>0</v>
      </c>
      <c r="G14" s="814"/>
      <c r="H14" s="815"/>
      <c r="I14" s="816"/>
      <c r="J14" s="817"/>
      <c r="L14" s="663"/>
      <c r="M14" s="663"/>
    </row>
    <row r="15" spans="1:13" s="818" customFormat="1" ht="13.5" customHeight="1" x14ac:dyDescent="0.3">
      <c r="A15" s="809" t="s">
        <v>1045</v>
      </c>
      <c r="B15" s="810">
        <v>625</v>
      </c>
      <c r="C15" s="810"/>
      <c r="D15" s="811">
        <f>(B15*30)/B20</f>
        <v>0.80214864605864789</v>
      </c>
      <c r="E15" s="812" t="s">
        <v>388</v>
      </c>
      <c r="F15" s="813">
        <v>0.8</v>
      </c>
      <c r="G15" s="814"/>
      <c r="H15" s="815"/>
      <c r="I15" s="816"/>
      <c r="J15" s="817"/>
      <c r="L15" s="663"/>
      <c r="M15" s="663"/>
    </row>
    <row r="16" spans="1:13" s="818" customFormat="1" ht="13.5" customHeight="1" x14ac:dyDescent="0.3">
      <c r="A16" s="809" t="s">
        <v>1046</v>
      </c>
      <c r="B16" s="810">
        <v>1150</v>
      </c>
      <c r="C16" s="810"/>
      <c r="D16" s="811">
        <f>(B16*30)/B20</f>
        <v>1.4759535087479121</v>
      </c>
      <c r="E16" s="812" t="s">
        <v>388</v>
      </c>
      <c r="F16" s="813">
        <v>1.48</v>
      </c>
      <c r="G16" s="814"/>
      <c r="H16" s="815"/>
      <c r="I16" s="816"/>
      <c r="J16" s="817"/>
      <c r="L16" s="663"/>
      <c r="M16" s="663"/>
    </row>
    <row r="17" spans="1:13" s="818" customFormat="1" ht="31.95" customHeight="1" x14ac:dyDescent="0.3">
      <c r="A17" s="809" t="s">
        <v>1047</v>
      </c>
      <c r="B17" s="810">
        <v>11100</v>
      </c>
      <c r="C17" s="810"/>
      <c r="D17" s="811">
        <f>(B17*30)/B20</f>
        <v>14.246159954001588</v>
      </c>
      <c r="E17" s="812" t="s">
        <v>388</v>
      </c>
      <c r="F17" s="813">
        <v>14.25</v>
      </c>
      <c r="G17" s="814"/>
      <c r="H17" s="815"/>
      <c r="I17" s="816"/>
      <c r="J17" s="817"/>
      <c r="L17" s="663"/>
      <c r="M17" s="663"/>
    </row>
    <row r="18" spans="1:13" s="818" customFormat="1" ht="13.5" customHeight="1" x14ac:dyDescent="0.3">
      <c r="A18" s="809" t="s">
        <v>1048</v>
      </c>
      <c r="B18" s="810">
        <v>1063</v>
      </c>
      <c r="C18" s="810"/>
      <c r="D18" s="811">
        <f>(B18*30)/B20</f>
        <v>1.3642944172165483</v>
      </c>
      <c r="E18" s="812"/>
      <c r="F18" s="813"/>
      <c r="G18" s="814"/>
      <c r="H18" s="815"/>
      <c r="I18" s="816" t="s">
        <v>388</v>
      </c>
      <c r="J18" s="817">
        <v>1.36</v>
      </c>
      <c r="L18" s="663"/>
      <c r="M18" s="663"/>
    </row>
    <row r="19" spans="1:13" s="818" customFormat="1" ht="13.5" customHeight="1" x14ac:dyDescent="0.3">
      <c r="A19" s="822"/>
      <c r="B19" s="823"/>
      <c r="C19" s="810"/>
      <c r="D19" s="811"/>
      <c r="E19" s="812"/>
      <c r="F19" s="813"/>
      <c r="G19" s="814"/>
      <c r="H19" s="815"/>
      <c r="I19" s="816"/>
      <c r="J19" s="817"/>
      <c r="L19" s="663"/>
      <c r="M19" s="663"/>
    </row>
    <row r="20" spans="1:13" s="818" customFormat="1" ht="13.5" customHeight="1" x14ac:dyDescent="0.3">
      <c r="A20" s="824" t="s">
        <v>1049</v>
      </c>
      <c r="B20" s="825">
        <f>SUM(B6:B18)</f>
        <v>23374.720000000001</v>
      </c>
      <c r="C20" s="826"/>
      <c r="D20" s="827"/>
      <c r="E20" s="828"/>
      <c r="F20" s="829"/>
      <c r="G20" s="828"/>
      <c r="H20" s="830"/>
      <c r="I20" s="831"/>
      <c r="J20" s="832"/>
      <c r="L20" s="663"/>
      <c r="M20" s="663"/>
    </row>
    <row r="21" spans="1:13" s="818" customFormat="1" ht="13.5" customHeight="1" x14ac:dyDescent="0.3">
      <c r="A21" s="1169"/>
      <c r="B21" s="1169"/>
      <c r="C21" s="1169"/>
      <c r="D21" s="1169"/>
      <c r="E21" s="1169"/>
      <c r="F21" s="1169"/>
      <c r="G21" s="1169"/>
      <c r="H21" s="1169"/>
      <c r="I21" s="1169"/>
      <c r="J21" s="1170"/>
      <c r="L21" s="663"/>
      <c r="M21" s="663"/>
    </row>
    <row r="22" spans="1:13" s="818" customFormat="1" ht="13.5" customHeight="1" x14ac:dyDescent="0.3">
      <c r="A22" s="1171"/>
      <c r="B22" s="1171"/>
      <c r="C22" s="1171"/>
      <c r="D22" s="1171"/>
      <c r="E22" s="1171"/>
      <c r="F22" s="1171"/>
      <c r="G22" s="1171"/>
      <c r="H22" s="1171"/>
      <c r="I22" s="1171"/>
      <c r="J22" s="1172"/>
      <c r="L22" s="663"/>
      <c r="M22" s="663"/>
    </row>
    <row r="23" spans="1:13" s="833" customFormat="1" ht="13.5" customHeight="1" x14ac:dyDescent="0.3">
      <c r="A23" s="1173"/>
      <c r="B23" s="1173"/>
      <c r="C23" s="1173"/>
      <c r="D23" s="1173"/>
      <c r="E23" s="1173"/>
      <c r="F23" s="1173"/>
      <c r="G23" s="1173"/>
      <c r="H23" s="1173"/>
      <c r="I23" s="1173"/>
      <c r="J23" s="1174"/>
      <c r="L23" s="834"/>
      <c r="M23" s="834"/>
    </row>
    <row r="24" spans="1:13" s="818" customFormat="1" ht="19.5" customHeight="1" x14ac:dyDescent="0.3">
      <c r="A24" s="788" t="s">
        <v>1029</v>
      </c>
      <c r="B24" s="789"/>
      <c r="C24" s="790"/>
      <c r="D24" s="791"/>
      <c r="E24" s="792"/>
      <c r="F24" s="793"/>
      <c r="G24" s="792"/>
      <c r="H24" s="794"/>
      <c r="I24" s="795"/>
      <c r="J24" s="795"/>
      <c r="L24" s="663"/>
      <c r="M24" s="663"/>
    </row>
    <row r="25" spans="1:13" s="818" customFormat="1" ht="19.5" customHeight="1" x14ac:dyDescent="0.3">
      <c r="A25" s="835"/>
      <c r="B25" s="836"/>
      <c r="C25" s="837"/>
      <c r="D25" s="838"/>
      <c r="E25" s="1164" t="s">
        <v>1032</v>
      </c>
      <c r="F25" s="1165"/>
      <c r="G25" s="1166" t="s">
        <v>309</v>
      </c>
      <c r="H25" s="1166"/>
      <c r="I25" s="1167" t="s">
        <v>312</v>
      </c>
      <c r="J25" s="1168"/>
      <c r="L25" s="663"/>
      <c r="M25" s="663"/>
    </row>
    <row r="26" spans="1:13" s="844" customFormat="1" ht="21" customHeight="1" x14ac:dyDescent="0.3">
      <c r="A26" s="839"/>
      <c r="B26" s="839"/>
      <c r="C26" s="839"/>
      <c r="D26" s="839"/>
      <c r="E26" s="840" t="s">
        <v>1050</v>
      </c>
      <c r="F26" s="841" t="s">
        <v>649</v>
      </c>
      <c r="G26" s="842" t="s">
        <v>1050</v>
      </c>
      <c r="H26" s="843" t="s">
        <v>649</v>
      </c>
      <c r="I26" s="840" t="s">
        <v>1050</v>
      </c>
      <c r="J26" s="841" t="s">
        <v>649</v>
      </c>
      <c r="L26" s="845"/>
      <c r="M26" s="845"/>
    </row>
    <row r="27" spans="1:13" s="797" customFormat="1" x14ac:dyDescent="0.3">
      <c r="A27" s="846" t="s">
        <v>15</v>
      </c>
      <c r="B27" s="847"/>
      <c r="C27" s="847"/>
      <c r="D27" s="847"/>
      <c r="E27" s="848">
        <v>0.1</v>
      </c>
      <c r="F27" s="849">
        <f>SUM(F6:F18)</f>
        <v>18.259999999999998</v>
      </c>
      <c r="G27" s="850">
        <v>0.1</v>
      </c>
      <c r="H27" s="851">
        <f>SUM(H6:H18)</f>
        <v>7.5</v>
      </c>
      <c r="I27" s="852">
        <v>0.1</v>
      </c>
      <c r="J27" s="853">
        <f>SUM(J6:J18)</f>
        <v>3.4800000000000004</v>
      </c>
      <c r="L27" s="663"/>
      <c r="M27" s="663"/>
    </row>
    <row r="28" spans="1:13" s="797" customFormat="1" x14ac:dyDescent="0.3">
      <c r="A28" s="854"/>
      <c r="B28" s="847"/>
      <c r="C28" s="847"/>
      <c r="D28" s="847"/>
      <c r="E28" s="848"/>
      <c r="F28" s="855"/>
      <c r="G28" s="850"/>
      <c r="H28" s="856"/>
      <c r="I28" s="852"/>
      <c r="J28" s="857"/>
      <c r="L28" s="663"/>
      <c r="M28" s="663"/>
    </row>
    <row r="29" spans="1:13" s="797" customFormat="1" x14ac:dyDescent="0.3">
      <c r="A29" s="854" t="s">
        <v>14</v>
      </c>
      <c r="B29" s="847"/>
      <c r="C29" s="847"/>
      <c r="D29" s="847"/>
      <c r="E29" s="858">
        <v>0.9</v>
      </c>
      <c r="F29" s="859">
        <f>Valoración!E141</f>
        <v>21.45</v>
      </c>
      <c r="G29" s="860">
        <v>0.9</v>
      </c>
      <c r="H29" s="861">
        <f>Valoración!G141</f>
        <v>19.95</v>
      </c>
      <c r="I29" s="862">
        <v>0.9</v>
      </c>
      <c r="J29" s="863">
        <f>Valoración!I141</f>
        <v>15.550000000000004</v>
      </c>
      <c r="L29" s="663"/>
      <c r="M29" s="663"/>
    </row>
    <row r="30" spans="1:13" s="797" customFormat="1" x14ac:dyDescent="0.3">
      <c r="L30" s="663"/>
      <c r="M30" s="663"/>
    </row>
    <row r="31" spans="1:13" s="865" customFormat="1" ht="18" x14ac:dyDescent="0.35">
      <c r="A31" s="864" t="s">
        <v>1051</v>
      </c>
      <c r="B31" s="864"/>
      <c r="C31" s="864"/>
      <c r="D31" s="864"/>
      <c r="E31" s="864">
        <v>30</v>
      </c>
      <c r="F31" s="864">
        <f>(F29*E29 +F27*E27)</f>
        <v>21.131</v>
      </c>
      <c r="G31" s="864"/>
      <c r="H31" s="864">
        <f>(H29*G29 +H27*G27)</f>
        <v>18.704999999999998</v>
      </c>
      <c r="I31" s="864"/>
      <c r="J31" s="864">
        <f>(J29*I29 +J27*I27)</f>
        <v>14.343000000000005</v>
      </c>
      <c r="L31" s="866"/>
      <c r="M31" s="866"/>
    </row>
    <row r="36" spans="1:9" hidden="1" x14ac:dyDescent="0.3"/>
    <row r="37" spans="1:9" hidden="1" x14ac:dyDescent="0.3"/>
    <row r="38" spans="1:9" hidden="1" x14ac:dyDescent="0.3">
      <c r="A38" s="118" t="s">
        <v>209</v>
      </c>
      <c r="B38" s="1132" t="s">
        <v>784</v>
      </c>
      <c r="C38" s="1132"/>
      <c r="D38" s="1132"/>
      <c r="E38" s="1132"/>
      <c r="F38"/>
      <c r="G38" s="917" t="s">
        <v>210</v>
      </c>
      <c r="H38"/>
      <c r="I38"/>
    </row>
    <row r="39" spans="1:9" hidden="1" x14ac:dyDescent="0.3">
      <c r="A39"/>
      <c r="B39"/>
      <c r="C39"/>
      <c r="D39"/>
      <c r="F39"/>
      <c r="G39" s="918"/>
      <c r="H39"/>
      <c r="I39"/>
    </row>
    <row r="40" spans="1:9" hidden="1" x14ac:dyDescent="0.3">
      <c r="A40"/>
      <c r="B40"/>
      <c r="C40"/>
      <c r="D40"/>
      <c r="F40"/>
      <c r="G40" s="918"/>
      <c r="H40"/>
      <c r="I40"/>
    </row>
    <row r="41" spans="1:9" hidden="1" x14ac:dyDescent="0.3">
      <c r="A41"/>
      <c r="B41"/>
      <c r="C41"/>
      <c r="D41"/>
      <c r="F41"/>
      <c r="G41" s="918"/>
      <c r="H41"/>
      <c r="I41"/>
    </row>
    <row r="42" spans="1:9" hidden="1" x14ac:dyDescent="0.3">
      <c r="A42" s="118" t="s">
        <v>785</v>
      </c>
      <c r="B42" s="1132" t="s">
        <v>786</v>
      </c>
      <c r="C42" s="1132"/>
      <c r="D42" s="1132"/>
      <c r="E42" s="1132"/>
      <c r="F42"/>
      <c r="G42" s="917" t="s">
        <v>787</v>
      </c>
      <c r="H42"/>
      <c r="I42"/>
    </row>
    <row r="43" spans="1:9" hidden="1" x14ac:dyDescent="0.3"/>
    <row r="44" spans="1:9" hidden="1" x14ac:dyDescent="0.3"/>
  </sheetData>
  <mergeCells count="11">
    <mergeCell ref="A21:J23"/>
    <mergeCell ref="A1:M1"/>
    <mergeCell ref="A2:D2"/>
    <mergeCell ref="E2:F2"/>
    <mergeCell ref="G2:H2"/>
    <mergeCell ref="I2:J2"/>
    <mergeCell ref="B38:E38"/>
    <mergeCell ref="B42:E42"/>
    <mergeCell ref="E25:F25"/>
    <mergeCell ref="G25:H25"/>
    <mergeCell ref="I25:J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F22" sqref="F22"/>
    </sheetView>
  </sheetViews>
  <sheetFormatPr baseColWidth="10" defaultRowHeight="13.2" x14ac:dyDescent="0.25"/>
  <cols>
    <col min="2" max="2" width="37.44140625" bestFit="1" customWidth="1"/>
    <col min="3" max="5" width="13" bestFit="1" customWidth="1"/>
    <col min="6" max="6" width="12" bestFit="1" customWidth="1"/>
    <col min="7" max="7" width="13" bestFit="1" customWidth="1"/>
    <col min="8" max="8" width="12" bestFit="1" customWidth="1"/>
    <col min="10" max="10" width="52.5546875" customWidth="1"/>
  </cols>
  <sheetData>
    <row r="1" spans="1:8" ht="14.4" x14ac:dyDescent="0.3">
      <c r="B1" s="217" t="s">
        <v>380</v>
      </c>
      <c r="C1" t="s">
        <v>393</v>
      </c>
    </row>
    <row r="3" spans="1:8" ht="14.4" x14ac:dyDescent="0.3">
      <c r="B3" s="218" t="s">
        <v>381</v>
      </c>
      <c r="C3" s="219" t="s">
        <v>382</v>
      </c>
      <c r="D3" s="219" t="s">
        <v>383</v>
      </c>
      <c r="E3" s="219" t="s">
        <v>384</v>
      </c>
      <c r="F3" s="219" t="s">
        <v>385</v>
      </c>
      <c r="G3" s="219" t="s">
        <v>386</v>
      </c>
      <c r="H3" s="219" t="s">
        <v>387</v>
      </c>
    </row>
    <row r="4" spans="1:8" ht="14.4" x14ac:dyDescent="0.3">
      <c r="B4" s="218" t="str">
        <f>Empresas!C12</f>
        <v>Precio de Licitación: (Iva Excluido)</v>
      </c>
      <c r="C4" s="221">
        <f>Empresas!F12</f>
        <v>231783.05</v>
      </c>
      <c r="D4" s="221">
        <f>Empresas!F26</f>
        <v>171378.81</v>
      </c>
      <c r="E4" s="221">
        <f>Empresas!F50</f>
        <v>233005.08</v>
      </c>
      <c r="F4" s="221">
        <f>Empresas!F64</f>
        <v>84494.07</v>
      </c>
      <c r="G4" s="221">
        <f>Empresas!F78</f>
        <v>209745.76</v>
      </c>
      <c r="H4" s="221">
        <f>Empresas!F89</f>
        <v>50847.46</v>
      </c>
    </row>
    <row r="5" spans="1:8" ht="14.4" x14ac:dyDescent="0.3">
      <c r="A5" s="27">
        <v>1</v>
      </c>
      <c r="B5" s="253" t="s">
        <v>295</v>
      </c>
      <c r="C5" s="220"/>
      <c r="D5" s="254" t="s">
        <v>388</v>
      </c>
      <c r="E5" s="220"/>
      <c r="F5" s="220"/>
      <c r="G5" s="220"/>
      <c r="H5" s="220"/>
    </row>
    <row r="6" spans="1:8" ht="14.4" x14ac:dyDescent="0.3">
      <c r="A6" s="27">
        <v>2</v>
      </c>
      <c r="B6" s="253" t="s">
        <v>296</v>
      </c>
      <c r="C6" s="220"/>
      <c r="D6" s="254" t="s">
        <v>388</v>
      </c>
      <c r="E6" s="220"/>
      <c r="F6" s="220"/>
      <c r="G6" s="220"/>
      <c r="H6" s="220" t="s">
        <v>388</v>
      </c>
    </row>
    <row r="7" spans="1:8" ht="14.4" x14ac:dyDescent="0.3">
      <c r="A7" s="27">
        <v>3</v>
      </c>
      <c r="B7" s="253" t="s">
        <v>389</v>
      </c>
      <c r="C7" s="220" t="s">
        <v>388</v>
      </c>
      <c r="D7" s="220"/>
      <c r="E7" s="220"/>
      <c r="F7" s="220"/>
      <c r="G7" s="220"/>
      <c r="H7" s="220"/>
    </row>
    <row r="8" spans="1:8" ht="14.4" x14ac:dyDescent="0.3">
      <c r="A8" s="27">
        <v>4</v>
      </c>
      <c r="B8" s="253" t="s">
        <v>390</v>
      </c>
      <c r="C8" s="220"/>
      <c r="D8" s="220" t="s">
        <v>388</v>
      </c>
      <c r="E8" s="220"/>
      <c r="F8" s="220"/>
      <c r="G8" s="220"/>
      <c r="H8" s="220"/>
    </row>
    <row r="9" spans="1:8" ht="14.4" x14ac:dyDescent="0.3">
      <c r="A9" s="27">
        <v>5</v>
      </c>
      <c r="B9" s="253" t="s">
        <v>313</v>
      </c>
      <c r="C9" s="220"/>
      <c r="D9" s="220"/>
      <c r="E9" s="220"/>
      <c r="F9" s="220"/>
      <c r="G9" s="220"/>
      <c r="H9" s="220" t="s">
        <v>388</v>
      </c>
    </row>
    <row r="10" spans="1:8" ht="14.4" x14ac:dyDescent="0.3">
      <c r="A10" s="27">
        <v>6</v>
      </c>
      <c r="B10" s="253" t="s">
        <v>297</v>
      </c>
      <c r="C10" s="220"/>
      <c r="D10" s="220" t="s">
        <v>388</v>
      </c>
      <c r="E10" s="254" t="s">
        <v>388</v>
      </c>
      <c r="F10" s="220" t="s">
        <v>388</v>
      </c>
      <c r="G10" s="220"/>
      <c r="H10" s="220"/>
    </row>
    <row r="11" spans="1:8" ht="14.4" x14ac:dyDescent="0.3">
      <c r="A11" s="27">
        <v>7</v>
      </c>
      <c r="B11" s="253" t="s">
        <v>298</v>
      </c>
      <c r="C11" s="220"/>
      <c r="D11" s="220" t="s">
        <v>388</v>
      </c>
      <c r="E11" s="220"/>
      <c r="F11" s="220"/>
      <c r="G11" s="220"/>
      <c r="H11" s="220"/>
    </row>
    <row r="12" spans="1:8" ht="14.4" x14ac:dyDescent="0.3">
      <c r="A12" s="27">
        <v>8</v>
      </c>
      <c r="B12" s="253" t="s">
        <v>289</v>
      </c>
      <c r="C12" s="220" t="s">
        <v>388</v>
      </c>
      <c r="D12" s="220" t="s">
        <v>388</v>
      </c>
      <c r="E12" s="220"/>
      <c r="F12" s="220"/>
      <c r="G12" s="220"/>
      <c r="H12" s="220" t="s">
        <v>388</v>
      </c>
    </row>
    <row r="13" spans="1:8" ht="14.4" x14ac:dyDescent="0.3">
      <c r="A13" s="27">
        <v>9</v>
      </c>
      <c r="B13" s="253" t="s">
        <v>309</v>
      </c>
      <c r="C13" s="220"/>
      <c r="D13" s="220"/>
      <c r="E13" s="220"/>
      <c r="F13" s="220"/>
      <c r="G13" s="220" t="s">
        <v>388</v>
      </c>
      <c r="H13" s="220"/>
    </row>
    <row r="14" spans="1:8" ht="14.4" x14ac:dyDescent="0.3">
      <c r="A14" s="27">
        <v>10</v>
      </c>
      <c r="B14" s="253" t="s">
        <v>299</v>
      </c>
      <c r="C14" s="220"/>
      <c r="D14" s="254" t="s">
        <v>388</v>
      </c>
      <c r="E14" s="220"/>
      <c r="F14" s="220"/>
      <c r="G14" s="220"/>
      <c r="H14" s="220"/>
    </row>
    <row r="15" spans="1:8" ht="14.4" x14ac:dyDescent="0.3">
      <c r="A15" s="27">
        <v>11</v>
      </c>
      <c r="B15" s="253" t="s">
        <v>391</v>
      </c>
      <c r="C15" s="220" t="s">
        <v>388</v>
      </c>
      <c r="D15" s="220"/>
      <c r="E15" s="220"/>
      <c r="F15" s="220"/>
      <c r="G15" s="220"/>
      <c r="H15" s="220"/>
    </row>
    <row r="16" spans="1:8" ht="14.4" x14ac:dyDescent="0.3">
      <c r="A16" s="27">
        <v>12</v>
      </c>
      <c r="B16" s="253" t="s">
        <v>291</v>
      </c>
      <c r="C16" s="220" t="s">
        <v>388</v>
      </c>
      <c r="D16" s="220"/>
      <c r="E16" s="220"/>
      <c r="F16" s="220"/>
      <c r="G16" s="220"/>
      <c r="H16" s="220"/>
    </row>
    <row r="17" spans="1:8" ht="14.4" x14ac:dyDescent="0.3">
      <c r="A17" s="27">
        <v>13</v>
      </c>
      <c r="B17" s="253" t="s">
        <v>292</v>
      </c>
      <c r="C17" s="220" t="s">
        <v>388</v>
      </c>
      <c r="D17" s="220"/>
      <c r="E17" s="220"/>
      <c r="F17" s="220"/>
      <c r="G17" s="220"/>
      <c r="H17" s="220"/>
    </row>
    <row r="18" spans="1:8" ht="14.4" x14ac:dyDescent="0.3">
      <c r="A18" s="27">
        <v>14</v>
      </c>
      <c r="B18" s="253" t="s">
        <v>300</v>
      </c>
      <c r="C18" s="220"/>
      <c r="D18" s="220" t="s">
        <v>388</v>
      </c>
      <c r="E18" s="254" t="s">
        <v>388</v>
      </c>
      <c r="F18" s="254" t="s">
        <v>388</v>
      </c>
      <c r="G18" s="220"/>
      <c r="H18" s="220" t="s">
        <v>388</v>
      </c>
    </row>
    <row r="19" spans="1:8" ht="14.4" x14ac:dyDescent="0.3">
      <c r="A19" s="27">
        <v>15</v>
      </c>
      <c r="B19" s="253" t="s">
        <v>310</v>
      </c>
      <c r="C19" s="220"/>
      <c r="D19" s="220"/>
      <c r="E19" s="220"/>
      <c r="F19" s="220"/>
      <c r="G19" s="254" t="s">
        <v>388</v>
      </c>
      <c r="H19" s="220"/>
    </row>
    <row r="20" spans="1:8" ht="14.4" x14ac:dyDescent="0.3">
      <c r="A20" s="27">
        <v>16</v>
      </c>
      <c r="B20" s="253" t="s">
        <v>314</v>
      </c>
      <c r="C20" s="220"/>
      <c r="D20" s="220"/>
      <c r="E20" s="220"/>
      <c r="F20" s="220"/>
      <c r="G20" s="220"/>
      <c r="H20" s="220" t="s">
        <v>388</v>
      </c>
    </row>
    <row r="21" spans="1:8" ht="14.4" x14ac:dyDescent="0.3">
      <c r="A21" s="27">
        <v>17</v>
      </c>
      <c r="B21" s="253" t="s">
        <v>301</v>
      </c>
      <c r="C21" s="220"/>
      <c r="D21" s="220" t="s">
        <v>388</v>
      </c>
      <c r="E21" s="220" t="s">
        <v>388</v>
      </c>
      <c r="F21" s="220" t="s">
        <v>388</v>
      </c>
      <c r="G21" s="220"/>
      <c r="H21" s="220"/>
    </row>
    <row r="22" spans="1:8" ht="14.4" x14ac:dyDescent="0.3">
      <c r="A22" s="27">
        <v>18</v>
      </c>
      <c r="B22" s="253" t="s">
        <v>293</v>
      </c>
      <c r="C22" s="220" t="s">
        <v>388</v>
      </c>
      <c r="D22" s="220" t="s">
        <v>388</v>
      </c>
      <c r="E22" s="220"/>
      <c r="F22" s="254" t="s">
        <v>388</v>
      </c>
      <c r="G22" s="220"/>
      <c r="H22" s="220"/>
    </row>
    <row r="23" spans="1:8" ht="14.4" x14ac:dyDescent="0.3">
      <c r="A23" s="27">
        <v>19</v>
      </c>
      <c r="B23" s="253" t="s">
        <v>302</v>
      </c>
      <c r="C23" s="220"/>
      <c r="D23" s="220" t="s">
        <v>388</v>
      </c>
      <c r="E23" s="220"/>
      <c r="F23" s="220"/>
      <c r="G23" s="220"/>
      <c r="H23" s="220"/>
    </row>
    <row r="24" spans="1:8" ht="14.4" x14ac:dyDescent="0.3">
      <c r="A24" s="27">
        <v>20</v>
      </c>
      <c r="B24" s="253" t="s">
        <v>294</v>
      </c>
      <c r="C24" s="220" t="s">
        <v>388</v>
      </c>
      <c r="D24" s="254" t="s">
        <v>388</v>
      </c>
      <c r="E24" s="220"/>
      <c r="F24" s="254" t="s">
        <v>388</v>
      </c>
      <c r="G24" s="220"/>
      <c r="H24" s="220"/>
    </row>
    <row r="25" spans="1:8" ht="14.4" x14ac:dyDescent="0.3">
      <c r="A25" s="27">
        <v>21</v>
      </c>
      <c r="B25" s="253" t="s">
        <v>303</v>
      </c>
      <c r="C25" s="220"/>
      <c r="D25" s="220" t="s">
        <v>388</v>
      </c>
      <c r="E25" s="220" t="s">
        <v>388</v>
      </c>
      <c r="F25" s="220"/>
      <c r="G25" s="220"/>
      <c r="H25" s="220" t="s">
        <v>388</v>
      </c>
    </row>
    <row r="26" spans="1:8" ht="14.4" x14ac:dyDescent="0.3">
      <c r="A26" s="27">
        <v>22</v>
      </c>
      <c r="B26" s="253" t="s">
        <v>304</v>
      </c>
      <c r="C26" s="220"/>
      <c r="D26" s="220" t="s">
        <v>388</v>
      </c>
      <c r="E26" s="254" t="s">
        <v>388</v>
      </c>
      <c r="F26" s="254" t="s">
        <v>388</v>
      </c>
      <c r="G26" s="220"/>
      <c r="H26" s="220" t="s">
        <v>388</v>
      </c>
    </row>
    <row r="27" spans="1:8" ht="14.4" x14ac:dyDescent="0.3">
      <c r="A27" s="27">
        <v>23</v>
      </c>
      <c r="B27" s="253" t="s">
        <v>305</v>
      </c>
      <c r="C27" s="220"/>
      <c r="D27" s="220" t="s">
        <v>388</v>
      </c>
      <c r="E27" s="254" t="s">
        <v>388</v>
      </c>
      <c r="F27" s="220"/>
      <c r="G27" s="220"/>
      <c r="H27" s="220"/>
    </row>
    <row r="28" spans="1:8" ht="14.4" x14ac:dyDescent="0.3">
      <c r="A28" s="27">
        <v>24</v>
      </c>
      <c r="B28" s="253" t="s">
        <v>306</v>
      </c>
      <c r="C28" s="220"/>
      <c r="D28" s="254" t="s">
        <v>388</v>
      </c>
      <c r="E28" s="220"/>
      <c r="F28" s="220"/>
      <c r="G28" s="220"/>
      <c r="H28" s="220" t="s">
        <v>388</v>
      </c>
    </row>
    <row r="29" spans="1:8" ht="14.4" x14ac:dyDescent="0.3">
      <c r="A29" s="27">
        <v>25</v>
      </c>
      <c r="B29" s="253" t="s">
        <v>307</v>
      </c>
      <c r="C29" s="220"/>
      <c r="D29" s="220" t="s">
        <v>388</v>
      </c>
      <c r="E29" s="220"/>
      <c r="F29" s="220"/>
      <c r="G29" s="220"/>
      <c r="H29" s="220"/>
    </row>
    <row r="30" spans="1:8" ht="14.4" x14ac:dyDescent="0.3">
      <c r="A30" s="27">
        <v>26</v>
      </c>
      <c r="B30" s="253" t="s">
        <v>308</v>
      </c>
      <c r="C30" s="220"/>
      <c r="D30" s="254" t="s">
        <v>388</v>
      </c>
      <c r="E30" s="254" t="s">
        <v>388</v>
      </c>
      <c r="F30" s="220" t="s">
        <v>388</v>
      </c>
      <c r="G30" s="220"/>
      <c r="H30" s="220"/>
    </row>
    <row r="31" spans="1:8" ht="14.4" x14ac:dyDescent="0.3">
      <c r="A31" s="27">
        <v>27</v>
      </c>
      <c r="B31" s="253" t="s">
        <v>315</v>
      </c>
      <c r="C31" s="220"/>
      <c r="D31" s="220"/>
      <c r="E31" s="220"/>
      <c r="F31" s="220"/>
      <c r="G31" s="220"/>
      <c r="H31" s="220" t="s">
        <v>388</v>
      </c>
    </row>
    <row r="32" spans="1:8" ht="14.4" x14ac:dyDescent="0.3">
      <c r="A32" s="27">
        <v>28</v>
      </c>
      <c r="B32" s="253" t="s">
        <v>311</v>
      </c>
      <c r="C32" s="220"/>
      <c r="D32" s="220"/>
      <c r="E32" s="220"/>
      <c r="F32" s="220"/>
      <c r="G32" s="220" t="s">
        <v>388</v>
      </c>
      <c r="H32" s="220"/>
    </row>
    <row r="33" spans="1:8" ht="14.4" x14ac:dyDescent="0.3">
      <c r="A33" s="27">
        <v>29</v>
      </c>
      <c r="B33" s="253" t="s">
        <v>312</v>
      </c>
      <c r="C33" s="220"/>
      <c r="D33" s="220"/>
      <c r="E33" s="220"/>
      <c r="F33" s="220"/>
      <c r="G33" s="220" t="s">
        <v>388</v>
      </c>
      <c r="H33" s="220"/>
    </row>
    <row r="34" spans="1:8" x14ac:dyDescent="0.25">
      <c r="C34" s="27">
        <f>DCOUNTA(B3:H33,C3,C5:C33)-1</f>
        <v>7</v>
      </c>
      <c r="D34" s="27">
        <f t="shared" ref="D34:H34" si="0">DCOUNTA(C3:I33,D3,D5:D33)-1</f>
        <v>18</v>
      </c>
      <c r="E34" s="27">
        <f t="shared" si="0"/>
        <v>7</v>
      </c>
      <c r="F34" s="27">
        <f t="shared" si="0"/>
        <v>7</v>
      </c>
      <c r="G34" s="27">
        <f t="shared" si="0"/>
        <v>4</v>
      </c>
      <c r="H34" s="27">
        <f t="shared" si="0"/>
        <v>9</v>
      </c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A18" sqref="A18"/>
    </sheetView>
  </sheetViews>
  <sheetFormatPr baseColWidth="10" defaultRowHeight="13.2" x14ac:dyDescent="0.25"/>
  <cols>
    <col min="1" max="1" width="45" customWidth="1"/>
    <col min="2" max="2" width="58.33203125" customWidth="1"/>
    <col min="3" max="3" width="56.44140625" customWidth="1"/>
  </cols>
  <sheetData>
    <row r="1" spans="1:3" x14ac:dyDescent="0.25">
      <c r="A1" s="208" t="s">
        <v>356</v>
      </c>
    </row>
    <row r="2" spans="1:3" ht="13.8" thickBot="1" x14ac:dyDescent="0.3">
      <c r="A2" s="209"/>
    </row>
    <row r="3" spans="1:3" ht="15" thickBot="1" x14ac:dyDescent="0.3">
      <c r="A3" s="210"/>
      <c r="B3" s="211" t="s">
        <v>357</v>
      </c>
    </row>
    <row r="4" spans="1:3" ht="15" thickBot="1" x14ac:dyDescent="0.3">
      <c r="A4" s="211">
        <v>1</v>
      </c>
      <c r="B4" s="213" t="s">
        <v>29</v>
      </c>
    </row>
    <row r="5" spans="1:3" ht="15" thickBot="1" x14ac:dyDescent="0.3">
      <c r="A5" s="211">
        <v>2</v>
      </c>
      <c r="B5" s="210">
        <v>45</v>
      </c>
    </row>
    <row r="6" spans="1:3" ht="15" thickBot="1" x14ac:dyDescent="0.3">
      <c r="A6" s="211">
        <v>3</v>
      </c>
      <c r="B6" s="214">
        <v>90</v>
      </c>
    </row>
    <row r="7" spans="1:3" ht="15" thickBot="1" x14ac:dyDescent="0.3">
      <c r="A7" s="211">
        <v>4</v>
      </c>
      <c r="B7" s="210">
        <v>78</v>
      </c>
    </row>
    <row r="8" spans="1:3" ht="13.8" thickBot="1" x14ac:dyDescent="0.3">
      <c r="A8" s="212"/>
      <c r="B8" s="213" t="s">
        <v>358</v>
      </c>
      <c r="C8" s="213" t="s">
        <v>359</v>
      </c>
    </row>
    <row r="9" spans="1:3" ht="13.8" thickBot="1" x14ac:dyDescent="0.3">
      <c r="A9" s="212"/>
      <c r="B9" s="210" t="s">
        <v>360</v>
      </c>
      <c r="C9" s="210" t="s">
        <v>361</v>
      </c>
    </row>
    <row r="10" spans="1:3" ht="13.8" thickBot="1" x14ac:dyDescent="0.3">
      <c r="A10" s="212"/>
      <c r="B10" s="214" t="e">
        <f>IF('Lote 6 - Items'!#REF!&gt;89,"A",IF('Lote 6 - Items'!#REF!&gt;79,"B",IF('Lote 6 - Items'!#REF!&gt;69,"C",IF('Lote 6 - Items'!#REF!&gt;59,"D","F"))))</f>
        <v>#REF!</v>
      </c>
      <c r="C10" s="214" t="s">
        <v>362</v>
      </c>
    </row>
    <row r="11" spans="1:3" ht="13.8" thickBot="1" x14ac:dyDescent="0.3">
      <c r="A11" s="212"/>
      <c r="B11" s="210" t="str">
        <f>IF('Lote 6 - Items'!A2&gt;89,"A",IF('Lote 6 - Items'!A2&gt;79,"B",IF('Lote 6 - Items'!A2&gt;69,"C",IF('Lote 6 - Items'!A2&gt;59,"D","F"))))</f>
        <v>F</v>
      </c>
      <c r="C11" s="210" t="s">
        <v>363</v>
      </c>
    </row>
    <row r="12" spans="1:3" x14ac:dyDescent="0.25">
      <c r="A12" s="209"/>
    </row>
    <row r="13" spans="1:3" ht="13.8" x14ac:dyDescent="0.3">
      <c r="A13" s="216" t="s">
        <v>376</v>
      </c>
    </row>
    <row r="14" spans="1:3" ht="13.8" x14ac:dyDescent="0.3">
      <c r="A14" s="216" t="s">
        <v>377</v>
      </c>
    </row>
    <row r="15" spans="1:3" ht="13.8" x14ac:dyDescent="0.3">
      <c r="A15" s="216" t="s">
        <v>378</v>
      </c>
    </row>
    <row r="16" spans="1:3" ht="13.8" x14ac:dyDescent="0.3">
      <c r="A16" s="216" t="s">
        <v>379</v>
      </c>
    </row>
    <row r="17" spans="1:2" ht="13.8" x14ac:dyDescent="0.3">
      <c r="A17" s="216" t="s">
        <v>378</v>
      </c>
    </row>
    <row r="18" spans="1:2" ht="13.8" x14ac:dyDescent="0.3">
      <c r="A18" s="216" t="s">
        <v>364</v>
      </c>
    </row>
    <row r="19" spans="1:2" ht="13.8" thickBot="1" x14ac:dyDescent="0.3">
      <c r="A19" s="215"/>
    </row>
    <row r="20" spans="1:2" ht="15" thickBot="1" x14ac:dyDescent="0.3">
      <c r="A20" s="211" t="s">
        <v>365</v>
      </c>
      <c r="B20" s="211" t="s">
        <v>366</v>
      </c>
    </row>
    <row r="21" spans="1:2" ht="13.8" thickBot="1" x14ac:dyDescent="0.3">
      <c r="A21" s="214" t="s">
        <v>367</v>
      </c>
      <c r="B21" s="214" t="s">
        <v>357</v>
      </c>
    </row>
    <row r="22" spans="1:2" ht="13.8" thickBot="1" x14ac:dyDescent="0.3">
      <c r="A22" s="210" t="s">
        <v>368</v>
      </c>
      <c r="B22" s="210" t="s">
        <v>369</v>
      </c>
    </row>
    <row r="23" spans="1:2" ht="13.8" thickBot="1" x14ac:dyDescent="0.3">
      <c r="A23" s="214" t="s">
        <v>370</v>
      </c>
      <c r="B23" s="214" t="s">
        <v>371</v>
      </c>
    </row>
    <row r="24" spans="1:2" ht="13.8" thickBot="1" x14ac:dyDescent="0.3">
      <c r="A24" s="210" t="s">
        <v>372</v>
      </c>
      <c r="B24" s="210" t="s">
        <v>373</v>
      </c>
    </row>
    <row r="25" spans="1:2" ht="13.8" thickBot="1" x14ac:dyDescent="0.3">
      <c r="A25" s="214" t="s">
        <v>374</v>
      </c>
      <c r="B25" s="214" t="s">
        <v>375</v>
      </c>
    </row>
  </sheetData>
  <printOptions verticalCentered="1"/>
  <pageMargins left="0.51181102362204722" right="0.51181102362204722" top="0.94488188976377963" bottom="0.74803149606299213" header="0.31496062992125984" footer="0.31496062992125984"/>
  <pageSetup paperSize="9" scale="8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topLeftCell="A139" workbookViewId="0">
      <selection activeCell="B157" sqref="B157"/>
    </sheetView>
  </sheetViews>
  <sheetFormatPr baseColWidth="10" defaultRowHeight="13.2" x14ac:dyDescent="0.25"/>
  <cols>
    <col min="1" max="1" width="17.6640625" customWidth="1"/>
    <col min="2" max="2" width="12.109375" bestFit="1" customWidth="1"/>
    <col min="5" max="5" width="11.88671875" bestFit="1" customWidth="1"/>
    <col min="7" max="7" width="17.44140625" bestFit="1" customWidth="1"/>
    <col min="8" max="8" width="18" bestFit="1" customWidth="1"/>
    <col min="9" max="9" width="0" hidden="1" customWidth="1"/>
    <col min="10" max="10" width="14.33203125" bestFit="1" customWidth="1"/>
    <col min="13" max="13" width="12.88671875" bestFit="1" customWidth="1"/>
    <col min="14" max="14" width="14.33203125" bestFit="1" customWidth="1"/>
  </cols>
  <sheetData>
    <row r="1" spans="1:14" x14ac:dyDescent="0.25">
      <c r="F1" s="1179" t="s">
        <v>466</v>
      </c>
      <c r="G1" s="1179"/>
      <c r="H1" s="1179"/>
      <c r="I1" s="1179"/>
      <c r="J1" s="1179"/>
      <c r="K1" s="1179"/>
      <c r="L1" s="1179"/>
      <c r="M1" s="1179"/>
      <c r="N1" s="101" t="s">
        <v>491</v>
      </c>
    </row>
    <row r="2" spans="1:14" ht="15.6" x14ac:dyDescent="0.25">
      <c r="A2" t="s">
        <v>484</v>
      </c>
      <c r="B2" t="s">
        <v>485</v>
      </c>
      <c r="C2" t="s">
        <v>486</v>
      </c>
      <c r="D2" t="s">
        <v>467</v>
      </c>
      <c r="E2" s="233">
        <v>50</v>
      </c>
      <c r="F2" s="228" t="s">
        <v>396</v>
      </c>
      <c r="G2" s="228" t="s">
        <v>397</v>
      </c>
      <c r="H2" s="228" t="s">
        <v>398</v>
      </c>
      <c r="I2" s="228" t="s">
        <v>399</v>
      </c>
      <c r="J2" s="228" t="s">
        <v>400</v>
      </c>
      <c r="K2" s="228" t="s">
        <v>401</v>
      </c>
      <c r="L2" s="228" t="s">
        <v>402</v>
      </c>
      <c r="M2" s="22" t="s">
        <v>468</v>
      </c>
    </row>
    <row r="3" spans="1:14" x14ac:dyDescent="0.25">
      <c r="A3" t="s">
        <v>487</v>
      </c>
      <c r="B3">
        <v>240</v>
      </c>
      <c r="C3">
        <v>270</v>
      </c>
      <c r="D3" s="234">
        <f>(B3*C3)/10000</f>
        <v>6.48</v>
      </c>
      <c r="E3" s="233">
        <f>D3*E$2</f>
        <v>324</v>
      </c>
      <c r="F3" s="224">
        <v>1</v>
      </c>
      <c r="G3" s="224" t="s">
        <v>403</v>
      </c>
      <c r="H3" s="224" t="s">
        <v>404</v>
      </c>
      <c r="I3" s="224">
        <v>43</v>
      </c>
      <c r="J3" s="224">
        <v>3</v>
      </c>
      <c r="K3" s="224">
        <v>178</v>
      </c>
      <c r="L3" s="224">
        <v>300</v>
      </c>
      <c r="M3" s="10">
        <f>((K3*L3)*J3)/10000</f>
        <v>16.02</v>
      </c>
    </row>
    <row r="4" spans="1:14" x14ac:dyDescent="0.25">
      <c r="A4" t="s">
        <v>487</v>
      </c>
      <c r="B4">
        <v>240</v>
      </c>
      <c r="C4">
        <v>270</v>
      </c>
      <c r="D4" s="234">
        <f t="shared" ref="D4:D67" si="0">(B4*C4)/10000</f>
        <v>6.48</v>
      </c>
      <c r="E4" s="233">
        <f t="shared" ref="E4:E67" si="1">D4*E$2</f>
        <v>324</v>
      </c>
      <c r="F4" s="224">
        <v>2</v>
      </c>
      <c r="G4" s="224" t="s">
        <v>403</v>
      </c>
      <c r="H4" s="224" t="s">
        <v>404</v>
      </c>
      <c r="I4" s="224">
        <v>43</v>
      </c>
      <c r="J4" s="224">
        <v>1</v>
      </c>
      <c r="K4" s="224">
        <v>219</v>
      </c>
      <c r="L4" s="224">
        <v>300</v>
      </c>
      <c r="M4" s="10">
        <f t="shared" ref="M4:M67" si="2">((K4*L4)*J4)/10000</f>
        <v>6.57</v>
      </c>
    </row>
    <row r="5" spans="1:14" x14ac:dyDescent="0.25">
      <c r="A5" t="s">
        <v>487</v>
      </c>
      <c r="B5">
        <v>240</v>
      </c>
      <c r="C5">
        <v>270</v>
      </c>
      <c r="D5" s="234">
        <f t="shared" si="0"/>
        <v>6.48</v>
      </c>
      <c r="E5" s="233">
        <f t="shared" si="1"/>
        <v>324</v>
      </c>
      <c r="F5" s="224">
        <v>3</v>
      </c>
      <c r="G5" s="224" t="s">
        <v>403</v>
      </c>
      <c r="H5" s="224" t="s">
        <v>404</v>
      </c>
      <c r="I5" s="224">
        <v>43</v>
      </c>
      <c r="J5" s="224">
        <v>1</v>
      </c>
      <c r="K5" s="224">
        <v>177</v>
      </c>
      <c r="L5" s="224">
        <v>300</v>
      </c>
      <c r="M5" s="10">
        <f t="shared" si="2"/>
        <v>5.31</v>
      </c>
    </row>
    <row r="6" spans="1:14" x14ac:dyDescent="0.25">
      <c r="A6" t="s">
        <v>487</v>
      </c>
      <c r="B6">
        <v>240</v>
      </c>
      <c r="C6">
        <v>270</v>
      </c>
      <c r="D6" s="234">
        <f t="shared" si="0"/>
        <v>6.48</v>
      </c>
      <c r="E6" s="233">
        <f t="shared" si="1"/>
        <v>324</v>
      </c>
      <c r="F6" s="224">
        <v>4</v>
      </c>
      <c r="G6" s="224" t="s">
        <v>403</v>
      </c>
      <c r="H6" s="224" t="s">
        <v>404</v>
      </c>
      <c r="I6" s="224">
        <v>43</v>
      </c>
      <c r="J6" s="224">
        <v>8</v>
      </c>
      <c r="K6" s="224">
        <v>238</v>
      </c>
      <c r="L6" s="224">
        <v>268</v>
      </c>
      <c r="M6" s="10">
        <f t="shared" si="2"/>
        <v>51.027200000000001</v>
      </c>
    </row>
    <row r="7" spans="1:14" x14ac:dyDescent="0.25">
      <c r="A7" t="s">
        <v>487</v>
      </c>
      <c r="B7">
        <v>240</v>
      </c>
      <c r="C7">
        <v>270</v>
      </c>
      <c r="D7" s="234">
        <f t="shared" si="0"/>
        <v>6.48</v>
      </c>
      <c r="E7" s="233">
        <f t="shared" si="1"/>
        <v>324</v>
      </c>
      <c r="F7" s="224">
        <v>5</v>
      </c>
      <c r="G7" s="224" t="s">
        <v>403</v>
      </c>
      <c r="H7" s="224" t="s">
        <v>404</v>
      </c>
      <c r="I7" s="224">
        <v>43</v>
      </c>
      <c r="J7" s="224">
        <v>1</v>
      </c>
      <c r="K7" s="224">
        <v>234</v>
      </c>
      <c r="L7" s="224">
        <v>268</v>
      </c>
      <c r="M7" s="10">
        <f t="shared" si="2"/>
        <v>6.2712000000000003</v>
      </c>
    </row>
    <row r="8" spans="1:14" x14ac:dyDescent="0.25">
      <c r="A8" t="s">
        <v>487</v>
      </c>
      <c r="B8">
        <v>240</v>
      </c>
      <c r="C8">
        <v>270</v>
      </c>
      <c r="D8" s="234">
        <f t="shared" si="0"/>
        <v>6.48</v>
      </c>
      <c r="E8" s="233">
        <f t="shared" si="1"/>
        <v>324</v>
      </c>
      <c r="F8" s="224">
        <v>6</v>
      </c>
      <c r="G8" s="224" t="s">
        <v>403</v>
      </c>
      <c r="H8" s="224" t="s">
        <v>404</v>
      </c>
      <c r="I8" s="224">
        <v>43</v>
      </c>
      <c r="J8" s="224">
        <v>1</v>
      </c>
      <c r="K8" s="224">
        <v>170</v>
      </c>
      <c r="L8" s="224">
        <v>252</v>
      </c>
      <c r="M8" s="10">
        <f t="shared" si="2"/>
        <v>4.2839999999999998</v>
      </c>
    </row>
    <row r="9" spans="1:14" x14ac:dyDescent="0.25">
      <c r="A9" t="s">
        <v>487</v>
      </c>
      <c r="B9">
        <v>240</v>
      </c>
      <c r="C9">
        <v>270</v>
      </c>
      <c r="D9" s="234">
        <f t="shared" si="0"/>
        <v>6.48</v>
      </c>
      <c r="E9" s="233">
        <f t="shared" si="1"/>
        <v>324</v>
      </c>
      <c r="F9" s="224">
        <v>7</v>
      </c>
      <c r="G9" s="224" t="s">
        <v>403</v>
      </c>
      <c r="H9" s="224" t="s">
        <v>404</v>
      </c>
      <c r="I9" s="224">
        <v>43</v>
      </c>
      <c r="J9" s="224">
        <v>1</v>
      </c>
      <c r="K9" s="224">
        <v>180</v>
      </c>
      <c r="L9" s="224">
        <v>252</v>
      </c>
      <c r="M9" s="10">
        <f t="shared" si="2"/>
        <v>4.5359999999999996</v>
      </c>
    </row>
    <row r="10" spans="1:14" x14ac:dyDescent="0.25">
      <c r="A10" t="s">
        <v>487</v>
      </c>
      <c r="B10">
        <v>240</v>
      </c>
      <c r="C10">
        <v>270</v>
      </c>
      <c r="D10" s="234">
        <f t="shared" si="0"/>
        <v>6.48</v>
      </c>
      <c r="E10" s="233">
        <f t="shared" si="1"/>
        <v>324</v>
      </c>
      <c r="F10" s="224">
        <v>8</v>
      </c>
      <c r="G10" s="224" t="s">
        <v>403</v>
      </c>
      <c r="H10" s="224" t="s">
        <v>404</v>
      </c>
      <c r="I10" s="224">
        <v>43</v>
      </c>
      <c r="J10" s="224">
        <v>1</v>
      </c>
      <c r="K10" s="224">
        <v>158</v>
      </c>
      <c r="L10" s="224">
        <v>252</v>
      </c>
      <c r="M10" s="10">
        <f t="shared" si="2"/>
        <v>3.9815999999999998</v>
      </c>
    </row>
    <row r="11" spans="1:14" x14ac:dyDescent="0.25">
      <c r="A11" t="s">
        <v>487</v>
      </c>
      <c r="B11">
        <v>240</v>
      </c>
      <c r="C11">
        <v>270</v>
      </c>
      <c r="D11" s="234">
        <f t="shared" si="0"/>
        <v>6.48</v>
      </c>
      <c r="E11" s="233">
        <f t="shared" si="1"/>
        <v>324</v>
      </c>
      <c r="F11" s="224">
        <v>9</v>
      </c>
      <c r="G11" s="224" t="s">
        <v>403</v>
      </c>
      <c r="H11" s="224" t="s">
        <v>404</v>
      </c>
      <c r="I11" s="224">
        <v>43</v>
      </c>
      <c r="J11" s="224">
        <v>1</v>
      </c>
      <c r="K11" s="224">
        <v>240</v>
      </c>
      <c r="L11" s="224">
        <v>252</v>
      </c>
      <c r="M11" s="10">
        <f t="shared" si="2"/>
        <v>6.048</v>
      </c>
    </row>
    <row r="12" spans="1:14" x14ac:dyDescent="0.25">
      <c r="A12" t="s">
        <v>488</v>
      </c>
      <c r="B12">
        <v>393</v>
      </c>
      <c r="C12">
        <v>335</v>
      </c>
      <c r="D12" s="234">
        <f t="shared" si="0"/>
        <v>13.1655</v>
      </c>
      <c r="E12" s="233">
        <f t="shared" si="1"/>
        <v>658.27499999999998</v>
      </c>
      <c r="F12" s="224">
        <v>10</v>
      </c>
      <c r="G12" s="224" t="s">
        <v>403</v>
      </c>
      <c r="H12" s="224" t="s">
        <v>404</v>
      </c>
      <c r="I12" s="224">
        <v>43</v>
      </c>
      <c r="J12" s="224">
        <v>1</v>
      </c>
      <c r="K12" s="224">
        <v>170</v>
      </c>
      <c r="L12" s="224">
        <v>252</v>
      </c>
      <c r="M12" s="10">
        <f t="shared" si="2"/>
        <v>4.2839999999999998</v>
      </c>
    </row>
    <row r="13" spans="1:14" x14ac:dyDescent="0.25">
      <c r="A13" t="s">
        <v>488</v>
      </c>
      <c r="B13">
        <v>269</v>
      </c>
      <c r="C13">
        <v>335</v>
      </c>
      <c r="D13" s="234">
        <f t="shared" si="0"/>
        <v>9.0114999999999998</v>
      </c>
      <c r="E13" s="233">
        <f t="shared" si="1"/>
        <v>450.57499999999999</v>
      </c>
      <c r="F13" s="224">
        <v>11</v>
      </c>
      <c r="G13" s="224" t="s">
        <v>403</v>
      </c>
      <c r="H13" s="224" t="s">
        <v>404</v>
      </c>
      <c r="I13" s="224">
        <v>43</v>
      </c>
      <c r="J13" s="224">
        <v>1</v>
      </c>
      <c r="K13" s="224">
        <v>185</v>
      </c>
      <c r="L13" s="224">
        <v>252</v>
      </c>
      <c r="M13" s="10">
        <f t="shared" si="2"/>
        <v>4.6619999999999999</v>
      </c>
    </row>
    <row r="14" spans="1:14" x14ac:dyDescent="0.25">
      <c r="A14" t="s">
        <v>488</v>
      </c>
      <c r="B14">
        <v>627</v>
      </c>
      <c r="C14">
        <v>335</v>
      </c>
      <c r="D14" s="234">
        <f t="shared" si="0"/>
        <v>21.0045</v>
      </c>
      <c r="E14" s="233">
        <f t="shared" si="1"/>
        <v>1050.2249999999999</v>
      </c>
      <c r="F14" s="224">
        <v>12</v>
      </c>
      <c r="G14" s="224" t="s">
        <v>403</v>
      </c>
      <c r="H14" s="224" t="s">
        <v>404</v>
      </c>
      <c r="I14" s="224">
        <v>43</v>
      </c>
      <c r="J14" s="224">
        <v>1</v>
      </c>
      <c r="K14" s="224">
        <v>158</v>
      </c>
      <c r="L14" s="224">
        <v>252</v>
      </c>
      <c r="M14" s="10">
        <f t="shared" si="2"/>
        <v>3.9815999999999998</v>
      </c>
    </row>
    <row r="15" spans="1:14" x14ac:dyDescent="0.25">
      <c r="A15" t="s">
        <v>488</v>
      </c>
      <c r="B15">
        <v>400</v>
      </c>
      <c r="C15">
        <v>335</v>
      </c>
      <c r="D15" s="234">
        <f t="shared" si="0"/>
        <v>13.4</v>
      </c>
      <c r="E15" s="233">
        <f t="shared" si="1"/>
        <v>670</v>
      </c>
      <c r="F15" s="224">
        <v>13</v>
      </c>
      <c r="G15" s="224" t="s">
        <v>403</v>
      </c>
      <c r="H15" s="224" t="s">
        <v>404</v>
      </c>
      <c r="I15" s="224">
        <v>43</v>
      </c>
      <c r="J15" s="224">
        <v>1</v>
      </c>
      <c r="K15" s="224">
        <v>190</v>
      </c>
      <c r="L15" s="224">
        <v>252</v>
      </c>
      <c r="M15" s="10">
        <f t="shared" si="2"/>
        <v>4.7880000000000003</v>
      </c>
    </row>
    <row r="16" spans="1:14" x14ac:dyDescent="0.25">
      <c r="A16" t="s">
        <v>488</v>
      </c>
      <c r="B16">
        <v>322</v>
      </c>
      <c r="C16">
        <v>335</v>
      </c>
      <c r="D16" s="234">
        <f t="shared" si="0"/>
        <v>10.787000000000001</v>
      </c>
      <c r="E16" s="233">
        <f t="shared" si="1"/>
        <v>539.35</v>
      </c>
      <c r="F16" s="225">
        <v>14</v>
      </c>
      <c r="G16" s="225" t="s">
        <v>405</v>
      </c>
      <c r="H16" s="225" t="s">
        <v>406</v>
      </c>
      <c r="I16" s="225"/>
      <c r="J16" s="225">
        <v>1</v>
      </c>
      <c r="K16" s="225">
        <v>82</v>
      </c>
      <c r="L16" s="225">
        <v>103</v>
      </c>
      <c r="M16" s="10">
        <f t="shared" si="2"/>
        <v>0.84460000000000002</v>
      </c>
    </row>
    <row r="17" spans="1:13" x14ac:dyDescent="0.25">
      <c r="A17" t="s">
        <v>488</v>
      </c>
      <c r="B17">
        <v>322</v>
      </c>
      <c r="C17">
        <v>335</v>
      </c>
      <c r="D17" s="234">
        <f t="shared" si="0"/>
        <v>10.787000000000001</v>
      </c>
      <c r="E17" s="233">
        <f t="shared" si="1"/>
        <v>539.35</v>
      </c>
      <c r="F17" s="225">
        <v>15</v>
      </c>
      <c r="G17" s="225" t="s">
        <v>405</v>
      </c>
      <c r="H17" s="225" t="s">
        <v>406</v>
      </c>
      <c r="I17" s="225"/>
      <c r="J17" s="225">
        <v>1</v>
      </c>
      <c r="K17" s="225">
        <v>109</v>
      </c>
      <c r="L17" s="225">
        <v>103</v>
      </c>
      <c r="M17" s="10">
        <f t="shared" si="2"/>
        <v>1.1227</v>
      </c>
    </row>
    <row r="18" spans="1:13" x14ac:dyDescent="0.25">
      <c r="A18" t="s">
        <v>488</v>
      </c>
      <c r="B18">
        <v>320</v>
      </c>
      <c r="C18">
        <v>335</v>
      </c>
      <c r="D18" s="234">
        <f t="shared" si="0"/>
        <v>10.72</v>
      </c>
      <c r="E18" s="233">
        <f t="shared" si="1"/>
        <v>536</v>
      </c>
      <c r="F18" s="225">
        <v>16</v>
      </c>
      <c r="G18" s="225" t="s">
        <v>407</v>
      </c>
      <c r="H18" s="225" t="s">
        <v>406</v>
      </c>
      <c r="I18" s="225"/>
      <c r="J18" s="225">
        <v>1</v>
      </c>
      <c r="K18" s="225">
        <v>67</v>
      </c>
      <c r="L18" s="225">
        <v>103</v>
      </c>
      <c r="M18" s="10">
        <f t="shared" si="2"/>
        <v>0.69010000000000005</v>
      </c>
    </row>
    <row r="19" spans="1:13" x14ac:dyDescent="0.25">
      <c r="A19" t="s">
        <v>488</v>
      </c>
      <c r="B19">
        <v>333</v>
      </c>
      <c r="C19">
        <v>335</v>
      </c>
      <c r="D19" s="234">
        <f t="shared" si="0"/>
        <v>11.1555</v>
      </c>
      <c r="E19" s="233">
        <f t="shared" si="1"/>
        <v>557.77499999999998</v>
      </c>
      <c r="F19" s="225">
        <v>17</v>
      </c>
      <c r="G19" s="225" t="s">
        <v>407</v>
      </c>
      <c r="H19" s="225" t="s">
        <v>406</v>
      </c>
      <c r="I19" s="225"/>
      <c r="J19" s="225">
        <v>1</v>
      </c>
      <c r="K19" s="225">
        <v>112</v>
      </c>
      <c r="L19" s="225">
        <v>103</v>
      </c>
      <c r="M19" s="10">
        <f t="shared" si="2"/>
        <v>1.1536</v>
      </c>
    </row>
    <row r="20" spans="1:13" x14ac:dyDescent="0.25">
      <c r="A20" t="s">
        <v>488</v>
      </c>
      <c r="B20">
        <v>348</v>
      </c>
      <c r="C20">
        <v>335</v>
      </c>
      <c r="D20" s="234">
        <f t="shared" si="0"/>
        <v>11.657999999999999</v>
      </c>
      <c r="E20" s="233">
        <f t="shared" si="1"/>
        <v>582.9</v>
      </c>
      <c r="F20" s="225">
        <v>18</v>
      </c>
      <c r="G20" s="225" t="s">
        <v>407</v>
      </c>
      <c r="H20" s="225" t="s">
        <v>406</v>
      </c>
      <c r="I20" s="225"/>
      <c r="J20" s="225">
        <v>1</v>
      </c>
      <c r="K20" s="225">
        <v>197</v>
      </c>
      <c r="L20" s="225">
        <v>103</v>
      </c>
      <c r="M20" s="10">
        <f t="shared" si="2"/>
        <v>2.0291000000000001</v>
      </c>
    </row>
    <row r="21" spans="1:13" x14ac:dyDescent="0.25">
      <c r="A21" t="s">
        <v>488</v>
      </c>
      <c r="B21">
        <v>335</v>
      </c>
      <c r="C21">
        <v>335</v>
      </c>
      <c r="D21" s="234">
        <f t="shared" si="0"/>
        <v>11.2225</v>
      </c>
      <c r="E21" s="233">
        <f t="shared" si="1"/>
        <v>561.125</v>
      </c>
      <c r="F21" s="225">
        <v>19</v>
      </c>
      <c r="G21" s="225" t="s">
        <v>407</v>
      </c>
      <c r="H21" s="225" t="s">
        <v>406</v>
      </c>
      <c r="I21" s="225"/>
      <c r="J21" s="225">
        <v>2</v>
      </c>
      <c r="K21" s="225">
        <v>175</v>
      </c>
      <c r="L21" s="225">
        <v>103</v>
      </c>
      <c r="M21" s="10">
        <f t="shared" si="2"/>
        <v>3.605</v>
      </c>
    </row>
    <row r="22" spans="1:13" x14ac:dyDescent="0.25">
      <c r="A22" t="s">
        <v>488</v>
      </c>
      <c r="B22">
        <v>337</v>
      </c>
      <c r="C22">
        <v>335</v>
      </c>
      <c r="D22" s="234">
        <f t="shared" si="0"/>
        <v>11.2895</v>
      </c>
      <c r="E22" s="233">
        <f t="shared" si="1"/>
        <v>564.47500000000002</v>
      </c>
      <c r="F22" s="225">
        <v>20</v>
      </c>
      <c r="G22" s="225" t="s">
        <v>408</v>
      </c>
      <c r="H22" s="225" t="s">
        <v>406</v>
      </c>
      <c r="I22" s="225"/>
      <c r="J22" s="225">
        <v>1</v>
      </c>
      <c r="K22" s="225">
        <v>197</v>
      </c>
      <c r="L22" s="225">
        <v>103</v>
      </c>
      <c r="M22" s="10">
        <f t="shared" si="2"/>
        <v>2.0291000000000001</v>
      </c>
    </row>
    <row r="23" spans="1:13" x14ac:dyDescent="0.25">
      <c r="A23" t="s">
        <v>488</v>
      </c>
      <c r="B23">
        <v>319</v>
      </c>
      <c r="C23">
        <v>335</v>
      </c>
      <c r="D23" s="234">
        <f t="shared" si="0"/>
        <v>10.686500000000001</v>
      </c>
      <c r="E23" s="233">
        <f t="shared" si="1"/>
        <v>534.32500000000005</v>
      </c>
      <c r="F23" s="225">
        <v>21</v>
      </c>
      <c r="G23" s="225" t="s">
        <v>409</v>
      </c>
      <c r="H23" s="225" t="s">
        <v>406</v>
      </c>
      <c r="I23" s="225"/>
      <c r="J23" s="225">
        <v>1</v>
      </c>
      <c r="K23" s="225">
        <v>209</v>
      </c>
      <c r="L23" s="225">
        <v>103</v>
      </c>
      <c r="M23" s="10">
        <f t="shared" si="2"/>
        <v>2.1526999999999998</v>
      </c>
    </row>
    <row r="24" spans="1:13" x14ac:dyDescent="0.25">
      <c r="A24" t="s">
        <v>488</v>
      </c>
      <c r="B24">
        <v>324</v>
      </c>
      <c r="C24">
        <v>335</v>
      </c>
      <c r="D24" s="234">
        <f t="shared" si="0"/>
        <v>10.853999999999999</v>
      </c>
      <c r="E24" s="233">
        <f t="shared" si="1"/>
        <v>542.69999999999993</v>
      </c>
      <c r="F24" s="225">
        <v>22</v>
      </c>
      <c r="G24" s="225" t="s">
        <v>410</v>
      </c>
      <c r="H24" s="225" t="s">
        <v>406</v>
      </c>
      <c r="I24" s="225"/>
      <c r="J24" s="225">
        <v>1</v>
      </c>
      <c r="K24" s="225">
        <v>197</v>
      </c>
      <c r="L24" s="225">
        <v>103</v>
      </c>
      <c r="M24" s="10">
        <f t="shared" si="2"/>
        <v>2.0291000000000001</v>
      </c>
    </row>
    <row r="25" spans="1:13" x14ac:dyDescent="0.25">
      <c r="A25" t="s">
        <v>488</v>
      </c>
      <c r="B25">
        <v>354</v>
      </c>
      <c r="C25">
        <v>335</v>
      </c>
      <c r="D25" s="234">
        <f t="shared" si="0"/>
        <v>11.859</v>
      </c>
      <c r="E25" s="233">
        <f t="shared" si="1"/>
        <v>592.95000000000005</v>
      </c>
      <c r="F25" s="224">
        <v>23</v>
      </c>
      <c r="G25" s="224" t="s">
        <v>405</v>
      </c>
      <c r="H25" s="224" t="s">
        <v>404</v>
      </c>
      <c r="I25" s="224">
        <v>43</v>
      </c>
      <c r="J25" s="224">
        <v>4</v>
      </c>
      <c r="K25" s="224">
        <v>178</v>
      </c>
      <c r="L25" s="224">
        <v>230</v>
      </c>
      <c r="M25" s="10">
        <f t="shared" si="2"/>
        <v>16.376000000000001</v>
      </c>
    </row>
    <row r="26" spans="1:13" x14ac:dyDescent="0.25">
      <c r="A26" t="s">
        <v>488</v>
      </c>
      <c r="B26">
        <v>354</v>
      </c>
      <c r="C26">
        <v>335</v>
      </c>
      <c r="D26" s="234">
        <f t="shared" si="0"/>
        <v>11.859</v>
      </c>
      <c r="E26" s="233">
        <f t="shared" si="1"/>
        <v>592.95000000000005</v>
      </c>
      <c r="F26" s="224">
        <v>24</v>
      </c>
      <c r="G26" s="224" t="s">
        <v>407</v>
      </c>
      <c r="H26" s="224" t="s">
        <v>404</v>
      </c>
      <c r="I26" s="224">
        <v>43</v>
      </c>
      <c r="J26" s="224">
        <v>3</v>
      </c>
      <c r="K26" s="224">
        <v>178</v>
      </c>
      <c r="L26" s="224">
        <v>230</v>
      </c>
      <c r="M26" s="10">
        <f t="shared" si="2"/>
        <v>12.282</v>
      </c>
    </row>
    <row r="27" spans="1:13" x14ac:dyDescent="0.25">
      <c r="A27" t="s">
        <v>488</v>
      </c>
      <c r="B27">
        <v>354</v>
      </c>
      <c r="C27">
        <v>335</v>
      </c>
      <c r="D27" s="234">
        <f t="shared" si="0"/>
        <v>11.859</v>
      </c>
      <c r="E27" s="233">
        <f t="shared" si="1"/>
        <v>592.95000000000005</v>
      </c>
      <c r="F27" s="224">
        <v>25</v>
      </c>
      <c r="G27" s="224" t="s">
        <v>407</v>
      </c>
      <c r="H27" s="224" t="s">
        <v>404</v>
      </c>
      <c r="I27" s="224">
        <v>58</v>
      </c>
      <c r="J27" s="224">
        <v>1</v>
      </c>
      <c r="K27" s="224">
        <v>217</v>
      </c>
      <c r="L27" s="224">
        <v>230</v>
      </c>
      <c r="M27" s="10">
        <f t="shared" si="2"/>
        <v>4.9909999999999997</v>
      </c>
    </row>
    <row r="28" spans="1:13" x14ac:dyDescent="0.25">
      <c r="A28" t="s">
        <v>488</v>
      </c>
      <c r="B28">
        <v>352</v>
      </c>
      <c r="C28">
        <v>335</v>
      </c>
      <c r="D28" s="234">
        <f t="shared" si="0"/>
        <v>11.792</v>
      </c>
      <c r="E28" s="233">
        <f t="shared" si="1"/>
        <v>589.6</v>
      </c>
      <c r="F28" s="224">
        <v>26</v>
      </c>
      <c r="G28" s="224" t="s">
        <v>407</v>
      </c>
      <c r="H28" s="224" t="s">
        <v>404</v>
      </c>
      <c r="I28" s="224">
        <v>43</v>
      </c>
      <c r="J28" s="224">
        <v>1</v>
      </c>
      <c r="K28" s="224">
        <v>138</v>
      </c>
      <c r="L28" s="224">
        <v>285</v>
      </c>
      <c r="M28" s="10">
        <f t="shared" si="2"/>
        <v>3.9329999999999998</v>
      </c>
    </row>
    <row r="29" spans="1:13" x14ac:dyDescent="0.25">
      <c r="A29" t="s">
        <v>488</v>
      </c>
      <c r="B29">
        <v>340</v>
      </c>
      <c r="C29">
        <v>335</v>
      </c>
      <c r="D29" s="234">
        <f t="shared" si="0"/>
        <v>11.39</v>
      </c>
      <c r="E29" s="233">
        <f t="shared" si="1"/>
        <v>569.5</v>
      </c>
      <c r="F29" s="224">
        <v>27</v>
      </c>
      <c r="G29" s="224" t="s">
        <v>407</v>
      </c>
      <c r="H29" s="224" t="s">
        <v>404</v>
      </c>
      <c r="I29" s="224">
        <v>43</v>
      </c>
      <c r="J29" s="224">
        <v>1</v>
      </c>
      <c r="K29" s="224">
        <v>150</v>
      </c>
      <c r="L29" s="224">
        <v>285</v>
      </c>
      <c r="M29" s="10">
        <f t="shared" si="2"/>
        <v>4.2750000000000004</v>
      </c>
    </row>
    <row r="30" spans="1:13" x14ac:dyDescent="0.25">
      <c r="A30" t="s">
        <v>488</v>
      </c>
      <c r="B30">
        <v>391</v>
      </c>
      <c r="C30">
        <v>335</v>
      </c>
      <c r="D30" s="234">
        <f t="shared" si="0"/>
        <v>13.0985</v>
      </c>
      <c r="E30" s="233">
        <f t="shared" si="1"/>
        <v>654.92499999999995</v>
      </c>
      <c r="F30" s="224">
        <v>28</v>
      </c>
      <c r="G30" s="224" t="s">
        <v>411</v>
      </c>
      <c r="H30" s="224" t="s">
        <v>404</v>
      </c>
      <c r="I30" s="224">
        <v>43</v>
      </c>
      <c r="J30" s="224">
        <v>1</v>
      </c>
      <c r="K30" s="224">
        <v>150</v>
      </c>
      <c r="L30" s="224">
        <v>332</v>
      </c>
      <c r="M30" s="10">
        <f t="shared" si="2"/>
        <v>4.9800000000000004</v>
      </c>
    </row>
    <row r="31" spans="1:13" x14ac:dyDescent="0.25">
      <c r="A31" t="s">
        <v>488</v>
      </c>
      <c r="B31">
        <v>628</v>
      </c>
      <c r="C31">
        <v>335</v>
      </c>
      <c r="D31" s="234">
        <f t="shared" si="0"/>
        <v>21.038</v>
      </c>
      <c r="E31" s="233">
        <f t="shared" si="1"/>
        <v>1051.9000000000001</v>
      </c>
      <c r="F31" s="224">
        <v>29</v>
      </c>
      <c r="G31" s="224" t="s">
        <v>411</v>
      </c>
      <c r="H31" s="224" t="s">
        <v>404</v>
      </c>
      <c r="I31" s="224">
        <v>43</v>
      </c>
      <c r="J31" s="224">
        <v>1</v>
      </c>
      <c r="K31" s="224">
        <v>140</v>
      </c>
      <c r="L31" s="224">
        <v>332</v>
      </c>
      <c r="M31" s="10">
        <f t="shared" si="2"/>
        <v>4.6479999999999997</v>
      </c>
    </row>
    <row r="32" spans="1:13" x14ac:dyDescent="0.25">
      <c r="A32" t="s">
        <v>488</v>
      </c>
      <c r="B32">
        <v>380</v>
      </c>
      <c r="C32">
        <v>335</v>
      </c>
      <c r="D32" s="234">
        <f t="shared" si="0"/>
        <v>12.73</v>
      </c>
      <c r="E32" s="233">
        <f t="shared" si="1"/>
        <v>636.5</v>
      </c>
      <c r="F32" s="224">
        <v>30</v>
      </c>
      <c r="G32" s="224" t="s">
        <v>411</v>
      </c>
      <c r="H32" s="224" t="s">
        <v>404</v>
      </c>
      <c r="I32" s="224">
        <v>43</v>
      </c>
      <c r="J32" s="224">
        <v>1</v>
      </c>
      <c r="K32" s="224">
        <v>230</v>
      </c>
      <c r="L32" s="224">
        <v>332</v>
      </c>
      <c r="M32" s="10">
        <f t="shared" si="2"/>
        <v>7.6360000000000001</v>
      </c>
    </row>
    <row r="33" spans="1:13" x14ac:dyDescent="0.25">
      <c r="A33" t="s">
        <v>488</v>
      </c>
      <c r="B33">
        <v>744</v>
      </c>
      <c r="C33">
        <v>335</v>
      </c>
      <c r="D33" s="234">
        <f t="shared" si="0"/>
        <v>24.923999999999999</v>
      </c>
      <c r="E33" s="233">
        <f t="shared" si="1"/>
        <v>1246.2</v>
      </c>
      <c r="F33" s="224">
        <v>31</v>
      </c>
      <c r="G33" s="224" t="s">
        <v>411</v>
      </c>
      <c r="H33" s="224" t="s">
        <v>404</v>
      </c>
      <c r="I33" s="224">
        <v>43</v>
      </c>
      <c r="J33" s="224">
        <v>1</v>
      </c>
      <c r="K33" s="224">
        <v>165</v>
      </c>
      <c r="L33" s="224">
        <v>332</v>
      </c>
      <c r="M33" s="10">
        <f t="shared" si="2"/>
        <v>5.4779999999999998</v>
      </c>
    </row>
    <row r="34" spans="1:13" x14ac:dyDescent="0.25">
      <c r="A34" t="s">
        <v>488</v>
      </c>
      <c r="B34">
        <v>711</v>
      </c>
      <c r="C34">
        <v>335</v>
      </c>
      <c r="D34" s="234">
        <f t="shared" si="0"/>
        <v>23.8185</v>
      </c>
      <c r="E34" s="233">
        <f t="shared" si="1"/>
        <v>1190.925</v>
      </c>
      <c r="F34" s="224">
        <v>32</v>
      </c>
      <c r="G34" s="224" t="s">
        <v>412</v>
      </c>
      <c r="H34" s="224" t="s">
        <v>404</v>
      </c>
      <c r="I34" s="224">
        <v>43</v>
      </c>
      <c r="J34" s="224">
        <v>1</v>
      </c>
      <c r="K34" s="224">
        <v>163</v>
      </c>
      <c r="L34" s="224">
        <v>332</v>
      </c>
      <c r="M34" s="10">
        <f t="shared" si="2"/>
        <v>5.4116</v>
      </c>
    </row>
    <row r="35" spans="1:13" x14ac:dyDescent="0.25">
      <c r="A35" t="s">
        <v>488</v>
      </c>
      <c r="B35">
        <v>205</v>
      </c>
      <c r="C35">
        <v>120</v>
      </c>
      <c r="D35" s="234">
        <f t="shared" si="0"/>
        <v>2.46</v>
      </c>
      <c r="E35" s="233">
        <f t="shared" si="1"/>
        <v>123</v>
      </c>
      <c r="F35" s="224">
        <v>33</v>
      </c>
      <c r="G35" s="224" t="s">
        <v>412</v>
      </c>
      <c r="H35" s="224" t="s">
        <v>404</v>
      </c>
      <c r="I35" s="224">
        <v>43</v>
      </c>
      <c r="J35" s="224">
        <v>1</v>
      </c>
      <c r="K35" s="224">
        <v>230</v>
      </c>
      <c r="L35" s="224">
        <v>332</v>
      </c>
      <c r="M35" s="10">
        <f t="shared" si="2"/>
        <v>7.6360000000000001</v>
      </c>
    </row>
    <row r="36" spans="1:13" x14ac:dyDescent="0.25">
      <c r="A36" t="s">
        <v>488</v>
      </c>
      <c r="B36">
        <v>225</v>
      </c>
      <c r="C36">
        <v>120</v>
      </c>
      <c r="D36" s="234">
        <f t="shared" si="0"/>
        <v>2.7</v>
      </c>
      <c r="E36" s="233">
        <f t="shared" si="1"/>
        <v>135</v>
      </c>
      <c r="F36" s="224">
        <v>34</v>
      </c>
      <c r="G36" s="224" t="s">
        <v>412</v>
      </c>
      <c r="H36" s="224" t="s">
        <v>404</v>
      </c>
      <c r="I36" s="224">
        <v>43</v>
      </c>
      <c r="J36" s="224">
        <v>1</v>
      </c>
      <c r="K36" s="224">
        <v>142</v>
      </c>
      <c r="L36" s="224">
        <v>332</v>
      </c>
      <c r="M36" s="10">
        <f t="shared" si="2"/>
        <v>4.7144000000000004</v>
      </c>
    </row>
    <row r="37" spans="1:13" x14ac:dyDescent="0.25">
      <c r="A37" t="s">
        <v>488</v>
      </c>
      <c r="B37">
        <v>214</v>
      </c>
      <c r="C37">
        <v>120</v>
      </c>
      <c r="D37" s="234">
        <f t="shared" si="0"/>
        <v>2.5680000000000001</v>
      </c>
      <c r="E37" s="233">
        <f t="shared" si="1"/>
        <v>128.4</v>
      </c>
      <c r="F37" s="224">
        <v>35</v>
      </c>
      <c r="G37" s="224" t="s">
        <v>412</v>
      </c>
      <c r="H37" s="224" t="s">
        <v>404</v>
      </c>
      <c r="I37" s="224">
        <v>43</v>
      </c>
      <c r="J37" s="224">
        <v>1</v>
      </c>
      <c r="K37" s="224">
        <v>153</v>
      </c>
      <c r="L37" s="224">
        <v>332</v>
      </c>
      <c r="M37" s="10">
        <f t="shared" si="2"/>
        <v>5.0796000000000001</v>
      </c>
    </row>
    <row r="38" spans="1:13" x14ac:dyDescent="0.25">
      <c r="A38" t="s">
        <v>488</v>
      </c>
      <c r="B38">
        <v>309</v>
      </c>
      <c r="C38">
        <v>120</v>
      </c>
      <c r="D38" s="234">
        <f t="shared" si="0"/>
        <v>3.7080000000000002</v>
      </c>
      <c r="E38" s="233">
        <f t="shared" si="1"/>
        <v>185.4</v>
      </c>
      <c r="F38" s="224">
        <v>36</v>
      </c>
      <c r="G38" s="224" t="s">
        <v>412</v>
      </c>
      <c r="H38" s="224" t="s">
        <v>404</v>
      </c>
      <c r="I38" s="224">
        <v>43</v>
      </c>
      <c r="J38" s="224">
        <v>2</v>
      </c>
      <c r="K38" s="224">
        <v>163</v>
      </c>
      <c r="L38" s="224">
        <v>332</v>
      </c>
      <c r="M38" s="10">
        <f t="shared" si="2"/>
        <v>10.8232</v>
      </c>
    </row>
    <row r="39" spans="1:13" x14ac:dyDescent="0.25">
      <c r="A39" t="s">
        <v>488</v>
      </c>
      <c r="B39">
        <v>214</v>
      </c>
      <c r="C39">
        <v>120</v>
      </c>
      <c r="D39" s="234">
        <f t="shared" si="0"/>
        <v>2.5680000000000001</v>
      </c>
      <c r="E39" s="233">
        <f t="shared" si="1"/>
        <v>128.4</v>
      </c>
      <c r="F39" s="224">
        <v>37</v>
      </c>
      <c r="G39" s="224" t="s">
        <v>413</v>
      </c>
      <c r="H39" s="224" t="s">
        <v>404</v>
      </c>
      <c r="I39" s="224">
        <v>43</v>
      </c>
      <c r="J39" s="224">
        <v>2</v>
      </c>
      <c r="K39" s="224">
        <v>162</v>
      </c>
      <c r="L39" s="224">
        <v>332</v>
      </c>
      <c r="M39" s="10">
        <f t="shared" si="2"/>
        <v>10.7568</v>
      </c>
    </row>
    <row r="40" spans="1:13" x14ac:dyDescent="0.25">
      <c r="A40" t="s">
        <v>488</v>
      </c>
      <c r="B40">
        <v>117</v>
      </c>
      <c r="C40">
        <v>120</v>
      </c>
      <c r="D40" s="234">
        <f t="shared" si="0"/>
        <v>1.4039999999999999</v>
      </c>
      <c r="E40" s="233">
        <f t="shared" si="1"/>
        <v>70.199999999999989</v>
      </c>
      <c r="F40" s="224">
        <v>38</v>
      </c>
      <c r="G40" s="224" t="s">
        <v>414</v>
      </c>
      <c r="H40" s="224" t="s">
        <v>404</v>
      </c>
      <c r="I40" s="224">
        <v>43</v>
      </c>
      <c r="J40" s="224">
        <v>2</v>
      </c>
      <c r="K40" s="224">
        <v>162</v>
      </c>
      <c r="L40" s="224">
        <v>332</v>
      </c>
      <c r="M40" s="10">
        <f t="shared" si="2"/>
        <v>10.7568</v>
      </c>
    </row>
    <row r="41" spans="1:13" x14ac:dyDescent="0.25">
      <c r="A41" t="s">
        <v>488</v>
      </c>
      <c r="B41">
        <v>72</v>
      </c>
      <c r="C41">
        <v>120</v>
      </c>
      <c r="D41" s="234">
        <f t="shared" si="0"/>
        <v>0.86399999999999999</v>
      </c>
      <c r="E41" s="233">
        <f t="shared" si="1"/>
        <v>43.2</v>
      </c>
      <c r="F41" s="224">
        <v>39</v>
      </c>
      <c r="G41" s="224" t="s">
        <v>415</v>
      </c>
      <c r="H41" s="224" t="s">
        <v>404</v>
      </c>
      <c r="I41" s="224">
        <v>43</v>
      </c>
      <c r="J41" s="224">
        <v>2</v>
      </c>
      <c r="K41" s="224">
        <v>177</v>
      </c>
      <c r="L41" s="224">
        <v>332</v>
      </c>
      <c r="M41" s="10">
        <f t="shared" si="2"/>
        <v>11.752800000000001</v>
      </c>
    </row>
    <row r="42" spans="1:13" x14ac:dyDescent="0.25">
      <c r="A42" t="s">
        <v>488</v>
      </c>
      <c r="B42">
        <v>117</v>
      </c>
      <c r="C42">
        <v>120</v>
      </c>
      <c r="D42" s="234">
        <f t="shared" si="0"/>
        <v>1.4039999999999999</v>
      </c>
      <c r="E42" s="233">
        <f t="shared" si="1"/>
        <v>70.199999999999989</v>
      </c>
      <c r="F42" s="224">
        <v>40</v>
      </c>
      <c r="G42" s="224" t="s">
        <v>410</v>
      </c>
      <c r="H42" s="224" t="s">
        <v>404</v>
      </c>
      <c r="I42" s="224">
        <v>43</v>
      </c>
      <c r="J42" s="224">
        <v>2</v>
      </c>
      <c r="K42" s="224">
        <v>177</v>
      </c>
      <c r="L42" s="224">
        <v>332</v>
      </c>
      <c r="M42" s="10">
        <f t="shared" si="2"/>
        <v>11.752800000000001</v>
      </c>
    </row>
    <row r="43" spans="1:13" x14ac:dyDescent="0.25">
      <c r="A43" t="s">
        <v>488</v>
      </c>
      <c r="B43">
        <v>72</v>
      </c>
      <c r="C43">
        <v>120</v>
      </c>
      <c r="D43" s="234">
        <f t="shared" si="0"/>
        <v>0.86399999999999999</v>
      </c>
      <c r="E43" s="233">
        <f t="shared" si="1"/>
        <v>43.2</v>
      </c>
      <c r="F43" s="224">
        <v>41</v>
      </c>
      <c r="G43" s="224" t="s">
        <v>409</v>
      </c>
      <c r="H43" s="224" t="s">
        <v>404</v>
      </c>
      <c r="I43" s="224">
        <v>43</v>
      </c>
      <c r="J43" s="224">
        <v>2</v>
      </c>
      <c r="K43" s="224">
        <v>177</v>
      </c>
      <c r="L43" s="224">
        <v>332</v>
      </c>
      <c r="M43" s="10">
        <f t="shared" si="2"/>
        <v>11.752800000000001</v>
      </c>
    </row>
    <row r="44" spans="1:13" x14ac:dyDescent="0.25">
      <c r="A44" s="101" t="s">
        <v>489</v>
      </c>
      <c r="B44">
        <v>390</v>
      </c>
      <c r="C44">
        <v>335</v>
      </c>
      <c r="D44" s="234">
        <f t="shared" si="0"/>
        <v>13.065</v>
      </c>
      <c r="E44" s="233">
        <f t="shared" si="1"/>
        <v>653.25</v>
      </c>
      <c r="F44" s="224">
        <v>42</v>
      </c>
      <c r="G44" s="224" t="s">
        <v>408</v>
      </c>
      <c r="H44" s="224" t="s">
        <v>404</v>
      </c>
      <c r="I44" s="224">
        <v>43</v>
      </c>
      <c r="J44" s="224">
        <v>2</v>
      </c>
      <c r="K44" s="224">
        <v>177</v>
      </c>
      <c r="L44" s="224">
        <v>332</v>
      </c>
      <c r="M44" s="10">
        <f t="shared" si="2"/>
        <v>11.752800000000001</v>
      </c>
    </row>
    <row r="45" spans="1:13" x14ac:dyDescent="0.25">
      <c r="A45" s="101" t="s">
        <v>489</v>
      </c>
      <c r="B45">
        <v>300</v>
      </c>
      <c r="C45">
        <v>335</v>
      </c>
      <c r="D45" s="234">
        <f t="shared" si="0"/>
        <v>10.050000000000001</v>
      </c>
      <c r="E45" s="233">
        <f t="shared" si="1"/>
        <v>502.50000000000006</v>
      </c>
      <c r="F45" s="224">
        <v>43</v>
      </c>
      <c r="G45" s="224" t="s">
        <v>416</v>
      </c>
      <c r="H45" s="224" t="s">
        <v>404</v>
      </c>
      <c r="I45" s="224">
        <v>43</v>
      </c>
      <c r="J45" s="224">
        <v>2</v>
      </c>
      <c r="K45" s="224">
        <v>165</v>
      </c>
      <c r="L45" s="224">
        <v>285</v>
      </c>
      <c r="M45" s="10">
        <f t="shared" si="2"/>
        <v>9.4049999999999994</v>
      </c>
    </row>
    <row r="46" spans="1:13" x14ac:dyDescent="0.25">
      <c r="A46" s="101" t="s">
        <v>489</v>
      </c>
      <c r="B46">
        <v>627</v>
      </c>
      <c r="C46">
        <v>335</v>
      </c>
      <c r="D46" s="234">
        <f t="shared" si="0"/>
        <v>21.0045</v>
      </c>
      <c r="E46" s="233">
        <f t="shared" si="1"/>
        <v>1050.2249999999999</v>
      </c>
      <c r="F46" s="224">
        <v>44</v>
      </c>
      <c r="G46" s="224" t="s">
        <v>416</v>
      </c>
      <c r="H46" s="224" t="s">
        <v>404</v>
      </c>
      <c r="I46" s="224">
        <v>43</v>
      </c>
      <c r="J46" s="224">
        <v>1</v>
      </c>
      <c r="K46" s="224">
        <v>170</v>
      </c>
      <c r="L46" s="224">
        <v>285</v>
      </c>
      <c r="M46" s="10">
        <f t="shared" si="2"/>
        <v>4.8449999999999998</v>
      </c>
    </row>
    <row r="47" spans="1:13" x14ac:dyDescent="0.25">
      <c r="A47" s="101" t="s">
        <v>489</v>
      </c>
      <c r="B47">
        <v>400</v>
      </c>
      <c r="C47">
        <v>335</v>
      </c>
      <c r="D47" s="234">
        <f t="shared" si="0"/>
        <v>13.4</v>
      </c>
      <c r="E47" s="233">
        <f t="shared" si="1"/>
        <v>670</v>
      </c>
      <c r="F47" s="224">
        <v>45</v>
      </c>
      <c r="G47" s="224" t="s">
        <v>416</v>
      </c>
      <c r="H47" s="224" t="s">
        <v>404</v>
      </c>
      <c r="I47" s="224">
        <v>43</v>
      </c>
      <c r="J47" s="224">
        <v>1</v>
      </c>
      <c r="K47" s="224">
        <v>120</v>
      </c>
      <c r="L47" s="224">
        <v>285</v>
      </c>
      <c r="M47" s="10">
        <f t="shared" si="2"/>
        <v>3.42</v>
      </c>
    </row>
    <row r="48" spans="1:13" x14ac:dyDescent="0.25">
      <c r="A48" s="101" t="s">
        <v>489</v>
      </c>
      <c r="B48">
        <v>322</v>
      </c>
      <c r="C48">
        <v>335</v>
      </c>
      <c r="D48" s="234">
        <f t="shared" si="0"/>
        <v>10.787000000000001</v>
      </c>
      <c r="E48" s="233">
        <f t="shared" si="1"/>
        <v>539.35</v>
      </c>
      <c r="F48" s="224">
        <v>46</v>
      </c>
      <c r="G48" s="224" t="s">
        <v>416</v>
      </c>
      <c r="H48" s="224" t="s">
        <v>404</v>
      </c>
      <c r="I48" s="224">
        <v>43</v>
      </c>
      <c r="J48" s="224">
        <v>1</v>
      </c>
      <c r="K48" s="224">
        <v>210</v>
      </c>
      <c r="L48" s="224">
        <v>285</v>
      </c>
      <c r="M48" s="10">
        <f t="shared" si="2"/>
        <v>5.9850000000000003</v>
      </c>
    </row>
    <row r="49" spans="1:13" x14ac:dyDescent="0.25">
      <c r="A49" s="101" t="s">
        <v>489</v>
      </c>
      <c r="B49">
        <v>322</v>
      </c>
      <c r="C49">
        <v>335</v>
      </c>
      <c r="D49" s="234">
        <f t="shared" si="0"/>
        <v>10.787000000000001</v>
      </c>
      <c r="E49" s="233">
        <f t="shared" si="1"/>
        <v>539.35</v>
      </c>
      <c r="F49" s="224">
        <v>47</v>
      </c>
      <c r="G49" s="224" t="s">
        <v>416</v>
      </c>
      <c r="H49" s="224" t="s">
        <v>404</v>
      </c>
      <c r="I49" s="224">
        <v>43</v>
      </c>
      <c r="J49" s="224">
        <v>1</v>
      </c>
      <c r="K49" s="224">
        <v>170</v>
      </c>
      <c r="L49" s="224">
        <v>285</v>
      </c>
      <c r="M49" s="10">
        <f t="shared" si="2"/>
        <v>4.8449999999999998</v>
      </c>
    </row>
    <row r="50" spans="1:13" x14ac:dyDescent="0.25">
      <c r="A50" s="101" t="s">
        <v>489</v>
      </c>
      <c r="B50">
        <v>318</v>
      </c>
      <c r="C50">
        <v>335</v>
      </c>
      <c r="D50" s="234">
        <f t="shared" si="0"/>
        <v>10.653</v>
      </c>
      <c r="E50" s="233">
        <f t="shared" si="1"/>
        <v>532.65</v>
      </c>
      <c r="F50" s="224">
        <v>48</v>
      </c>
      <c r="G50" s="224" t="s">
        <v>417</v>
      </c>
      <c r="H50" s="224" t="s">
        <v>404</v>
      </c>
      <c r="I50" s="224">
        <v>43</v>
      </c>
      <c r="J50" s="224">
        <v>2</v>
      </c>
      <c r="K50" s="224">
        <v>160</v>
      </c>
      <c r="L50" s="224">
        <v>332</v>
      </c>
      <c r="M50" s="10">
        <f t="shared" si="2"/>
        <v>10.624000000000001</v>
      </c>
    </row>
    <row r="51" spans="1:13" x14ac:dyDescent="0.25">
      <c r="A51" s="101" t="s">
        <v>489</v>
      </c>
      <c r="B51">
        <v>335</v>
      </c>
      <c r="C51">
        <v>335</v>
      </c>
      <c r="D51" s="234">
        <f t="shared" si="0"/>
        <v>11.2225</v>
      </c>
      <c r="E51" s="233">
        <f t="shared" si="1"/>
        <v>561.125</v>
      </c>
      <c r="F51" s="224">
        <v>49</v>
      </c>
      <c r="G51" s="224" t="s">
        <v>418</v>
      </c>
      <c r="H51" s="224" t="s">
        <v>404</v>
      </c>
      <c r="I51" s="224">
        <v>43</v>
      </c>
      <c r="J51" s="224">
        <v>2</v>
      </c>
      <c r="K51" s="224">
        <v>167</v>
      </c>
      <c r="L51" s="224">
        <v>332</v>
      </c>
      <c r="M51" s="10">
        <f t="shared" si="2"/>
        <v>11.088800000000001</v>
      </c>
    </row>
    <row r="52" spans="1:13" x14ac:dyDescent="0.25">
      <c r="A52" s="101" t="s">
        <v>489</v>
      </c>
      <c r="B52">
        <v>348</v>
      </c>
      <c r="C52">
        <v>335</v>
      </c>
      <c r="D52" s="234">
        <f t="shared" si="0"/>
        <v>11.657999999999999</v>
      </c>
      <c r="E52" s="233">
        <f t="shared" si="1"/>
        <v>582.9</v>
      </c>
      <c r="F52" s="224">
        <v>50</v>
      </c>
      <c r="G52" s="224" t="s">
        <v>419</v>
      </c>
      <c r="H52" s="224" t="s">
        <v>404</v>
      </c>
      <c r="I52" s="224">
        <v>43</v>
      </c>
      <c r="J52" s="224">
        <v>2</v>
      </c>
      <c r="K52" s="224">
        <v>175</v>
      </c>
      <c r="L52" s="224">
        <v>332</v>
      </c>
      <c r="M52" s="10">
        <f t="shared" si="2"/>
        <v>11.62</v>
      </c>
    </row>
    <row r="53" spans="1:13" x14ac:dyDescent="0.25">
      <c r="A53" s="101" t="s">
        <v>489</v>
      </c>
      <c r="B53">
        <v>336</v>
      </c>
      <c r="C53">
        <v>335</v>
      </c>
      <c r="D53" s="234">
        <f t="shared" si="0"/>
        <v>11.256</v>
      </c>
      <c r="E53" s="233">
        <f t="shared" si="1"/>
        <v>562.79999999999995</v>
      </c>
      <c r="F53" s="224">
        <v>51</v>
      </c>
      <c r="G53" s="224" t="s">
        <v>420</v>
      </c>
      <c r="H53" s="224" t="s">
        <v>404</v>
      </c>
      <c r="I53" s="224">
        <v>43</v>
      </c>
      <c r="J53" s="224">
        <v>2</v>
      </c>
      <c r="K53" s="224">
        <v>168</v>
      </c>
      <c r="L53" s="224">
        <v>332</v>
      </c>
      <c r="M53" s="10">
        <f t="shared" si="2"/>
        <v>11.155200000000001</v>
      </c>
    </row>
    <row r="54" spans="1:13" x14ac:dyDescent="0.25">
      <c r="A54" s="101" t="s">
        <v>489</v>
      </c>
      <c r="B54">
        <v>335</v>
      </c>
      <c r="C54">
        <v>335</v>
      </c>
      <c r="D54" s="234">
        <f t="shared" si="0"/>
        <v>11.2225</v>
      </c>
      <c r="E54" s="233">
        <f t="shared" si="1"/>
        <v>561.125</v>
      </c>
      <c r="F54" s="224">
        <v>52</v>
      </c>
      <c r="G54" s="224" t="s">
        <v>421</v>
      </c>
      <c r="H54" s="224" t="s">
        <v>404</v>
      </c>
      <c r="I54" s="224">
        <v>43</v>
      </c>
      <c r="J54" s="224">
        <v>2</v>
      </c>
      <c r="K54" s="224">
        <v>168</v>
      </c>
      <c r="L54" s="224">
        <v>332</v>
      </c>
      <c r="M54" s="10">
        <f t="shared" si="2"/>
        <v>11.155200000000001</v>
      </c>
    </row>
    <row r="55" spans="1:13" x14ac:dyDescent="0.25">
      <c r="A55" s="101" t="s">
        <v>489</v>
      </c>
      <c r="B55">
        <v>320</v>
      </c>
      <c r="C55">
        <v>335</v>
      </c>
      <c r="D55" s="234">
        <f t="shared" si="0"/>
        <v>10.72</v>
      </c>
      <c r="E55" s="233">
        <f t="shared" si="1"/>
        <v>536</v>
      </c>
      <c r="F55" s="224">
        <v>53</v>
      </c>
      <c r="G55" s="224" t="s">
        <v>422</v>
      </c>
      <c r="H55" s="224" t="s">
        <v>404</v>
      </c>
      <c r="I55" s="224">
        <v>43</v>
      </c>
      <c r="J55" s="224">
        <v>2</v>
      </c>
      <c r="K55" s="224">
        <v>162</v>
      </c>
      <c r="L55" s="224">
        <v>332</v>
      </c>
      <c r="M55" s="10">
        <f t="shared" si="2"/>
        <v>10.7568</v>
      </c>
    </row>
    <row r="56" spans="1:13" x14ac:dyDescent="0.25">
      <c r="A56" s="101" t="s">
        <v>489</v>
      </c>
      <c r="B56">
        <v>320</v>
      </c>
      <c r="C56">
        <v>335</v>
      </c>
      <c r="D56" s="234">
        <f t="shared" si="0"/>
        <v>10.72</v>
      </c>
      <c r="E56" s="233">
        <f t="shared" si="1"/>
        <v>536</v>
      </c>
      <c r="F56" s="224">
        <v>54</v>
      </c>
      <c r="G56" s="224" t="s">
        <v>423</v>
      </c>
      <c r="H56" s="224" t="s">
        <v>404</v>
      </c>
      <c r="I56" s="224">
        <v>43</v>
      </c>
      <c r="J56" s="224">
        <v>2</v>
      </c>
      <c r="K56" s="224">
        <v>165</v>
      </c>
      <c r="L56" s="224">
        <v>332</v>
      </c>
      <c r="M56" s="10">
        <f t="shared" si="2"/>
        <v>10.956</v>
      </c>
    </row>
    <row r="57" spans="1:13" x14ac:dyDescent="0.25">
      <c r="A57" s="101" t="s">
        <v>489</v>
      </c>
      <c r="B57">
        <v>347</v>
      </c>
      <c r="C57">
        <v>335</v>
      </c>
      <c r="D57" s="234">
        <f t="shared" si="0"/>
        <v>11.624499999999999</v>
      </c>
      <c r="E57" s="233">
        <f t="shared" si="1"/>
        <v>581.22500000000002</v>
      </c>
      <c r="F57" s="224">
        <v>55</v>
      </c>
      <c r="G57" s="224" t="s">
        <v>424</v>
      </c>
      <c r="H57" s="224" t="s">
        <v>404</v>
      </c>
      <c r="I57" s="224">
        <v>43</v>
      </c>
      <c r="J57" s="224">
        <v>2</v>
      </c>
      <c r="K57" s="224">
        <v>177</v>
      </c>
      <c r="L57" s="224">
        <v>332</v>
      </c>
      <c r="M57" s="10">
        <f t="shared" si="2"/>
        <v>11.752800000000001</v>
      </c>
    </row>
    <row r="58" spans="1:13" x14ac:dyDescent="0.25">
      <c r="A58" s="101" t="s">
        <v>489</v>
      </c>
      <c r="B58">
        <v>350</v>
      </c>
      <c r="C58">
        <v>335</v>
      </c>
      <c r="D58" s="234">
        <f t="shared" si="0"/>
        <v>11.725</v>
      </c>
      <c r="E58" s="233">
        <f t="shared" si="1"/>
        <v>586.25</v>
      </c>
      <c r="F58" s="224">
        <v>56</v>
      </c>
      <c r="G58" s="224" t="s">
        <v>425</v>
      </c>
      <c r="H58" s="224" t="s">
        <v>404</v>
      </c>
      <c r="I58" s="224">
        <v>43</v>
      </c>
      <c r="J58" s="224">
        <v>1</v>
      </c>
      <c r="K58" s="224">
        <v>150</v>
      </c>
      <c r="L58" s="224">
        <v>320</v>
      </c>
      <c r="M58" s="10">
        <f t="shared" si="2"/>
        <v>4.8</v>
      </c>
    </row>
    <row r="59" spans="1:13" x14ac:dyDescent="0.25">
      <c r="A59" s="101" t="s">
        <v>489</v>
      </c>
      <c r="B59">
        <v>346</v>
      </c>
      <c r="C59">
        <v>335</v>
      </c>
      <c r="D59" s="234">
        <f t="shared" si="0"/>
        <v>11.590999999999999</v>
      </c>
      <c r="E59" s="233">
        <f t="shared" si="1"/>
        <v>579.54999999999995</v>
      </c>
      <c r="F59" s="224">
        <v>57</v>
      </c>
      <c r="G59" s="224" t="s">
        <v>425</v>
      </c>
      <c r="H59" s="224" t="s">
        <v>404</v>
      </c>
      <c r="I59" s="224">
        <v>43</v>
      </c>
      <c r="J59" s="224">
        <v>1</v>
      </c>
      <c r="K59" s="224">
        <v>140</v>
      </c>
      <c r="L59" s="224">
        <v>320</v>
      </c>
      <c r="M59" s="10">
        <f t="shared" si="2"/>
        <v>4.4800000000000004</v>
      </c>
    </row>
    <row r="60" spans="1:13" x14ac:dyDescent="0.25">
      <c r="A60" s="101" t="s">
        <v>489</v>
      </c>
      <c r="B60">
        <v>346</v>
      </c>
      <c r="C60">
        <v>335</v>
      </c>
      <c r="D60" s="234">
        <f t="shared" si="0"/>
        <v>11.590999999999999</v>
      </c>
      <c r="E60" s="233">
        <f t="shared" si="1"/>
        <v>579.54999999999995</v>
      </c>
      <c r="F60" s="224">
        <v>58</v>
      </c>
      <c r="G60" s="224" t="s">
        <v>425</v>
      </c>
      <c r="H60" s="224" t="s">
        <v>404</v>
      </c>
      <c r="I60" s="224">
        <v>43</v>
      </c>
      <c r="J60" s="224">
        <v>1</v>
      </c>
      <c r="K60" s="224">
        <v>227</v>
      </c>
      <c r="L60" s="224">
        <v>320</v>
      </c>
      <c r="M60" s="10">
        <f t="shared" si="2"/>
        <v>7.2640000000000002</v>
      </c>
    </row>
    <row r="61" spans="1:13" x14ac:dyDescent="0.25">
      <c r="A61" s="101" t="s">
        <v>489</v>
      </c>
      <c r="B61">
        <v>335</v>
      </c>
      <c r="C61">
        <v>335</v>
      </c>
      <c r="D61" s="234">
        <f t="shared" si="0"/>
        <v>11.2225</v>
      </c>
      <c r="E61" s="233">
        <f t="shared" si="1"/>
        <v>561.125</v>
      </c>
      <c r="F61" s="224">
        <v>59</v>
      </c>
      <c r="G61" s="224" t="s">
        <v>425</v>
      </c>
      <c r="H61" s="224" t="s">
        <v>404</v>
      </c>
      <c r="I61" s="224">
        <v>43</v>
      </c>
      <c r="J61" s="224">
        <v>1</v>
      </c>
      <c r="K61" s="224">
        <v>165</v>
      </c>
      <c r="L61" s="224">
        <v>320</v>
      </c>
      <c r="M61" s="10">
        <f t="shared" si="2"/>
        <v>5.28</v>
      </c>
    </row>
    <row r="62" spans="1:13" x14ac:dyDescent="0.25">
      <c r="A62" s="101" t="s">
        <v>489</v>
      </c>
      <c r="B62">
        <v>340</v>
      </c>
      <c r="C62">
        <v>200</v>
      </c>
      <c r="D62" s="234">
        <f t="shared" si="0"/>
        <v>6.8</v>
      </c>
      <c r="E62" s="233">
        <f t="shared" si="1"/>
        <v>340</v>
      </c>
      <c r="F62" s="224">
        <v>60</v>
      </c>
      <c r="G62" s="224" t="s">
        <v>426</v>
      </c>
      <c r="H62" s="224" t="s">
        <v>404</v>
      </c>
      <c r="I62" s="224">
        <v>43</v>
      </c>
      <c r="J62" s="224">
        <v>1</v>
      </c>
      <c r="K62" s="224">
        <v>162</v>
      </c>
      <c r="L62" s="224">
        <v>320</v>
      </c>
      <c r="M62" s="10">
        <f t="shared" si="2"/>
        <v>5.1840000000000002</v>
      </c>
    </row>
    <row r="63" spans="1:13" x14ac:dyDescent="0.25">
      <c r="A63" s="101" t="s">
        <v>489</v>
      </c>
      <c r="B63">
        <v>360</v>
      </c>
      <c r="C63">
        <v>200</v>
      </c>
      <c r="D63" s="234">
        <f t="shared" si="0"/>
        <v>7.2</v>
      </c>
      <c r="E63" s="233">
        <f t="shared" si="1"/>
        <v>360</v>
      </c>
      <c r="F63" s="224">
        <v>61</v>
      </c>
      <c r="G63" s="224" t="s">
        <v>426</v>
      </c>
      <c r="H63" s="224" t="s">
        <v>404</v>
      </c>
      <c r="I63" s="224">
        <v>43</v>
      </c>
      <c r="J63" s="224">
        <v>1</v>
      </c>
      <c r="K63" s="224">
        <v>230</v>
      </c>
      <c r="L63" s="224">
        <v>320</v>
      </c>
      <c r="M63" s="10">
        <f t="shared" si="2"/>
        <v>7.36</v>
      </c>
    </row>
    <row r="64" spans="1:13" x14ac:dyDescent="0.25">
      <c r="A64" s="101" t="s">
        <v>489</v>
      </c>
      <c r="B64">
        <v>363</v>
      </c>
      <c r="C64">
        <v>200</v>
      </c>
      <c r="D64" s="234">
        <f t="shared" si="0"/>
        <v>7.26</v>
      </c>
      <c r="E64" s="233">
        <f t="shared" si="1"/>
        <v>363</v>
      </c>
      <c r="F64" s="224">
        <v>62</v>
      </c>
      <c r="G64" s="224" t="s">
        <v>426</v>
      </c>
      <c r="H64" s="224" t="s">
        <v>404</v>
      </c>
      <c r="I64" s="224">
        <v>43</v>
      </c>
      <c r="J64" s="224">
        <v>1</v>
      </c>
      <c r="K64" s="224">
        <v>140</v>
      </c>
      <c r="L64" s="224">
        <v>320</v>
      </c>
      <c r="M64" s="10">
        <f t="shared" si="2"/>
        <v>4.4800000000000004</v>
      </c>
    </row>
    <row r="65" spans="1:13" x14ac:dyDescent="0.25">
      <c r="A65" s="101" t="s">
        <v>489</v>
      </c>
      <c r="B65">
        <v>362</v>
      </c>
      <c r="C65">
        <v>200</v>
      </c>
      <c r="D65" s="234">
        <f t="shared" si="0"/>
        <v>7.24</v>
      </c>
      <c r="E65" s="233">
        <f t="shared" si="1"/>
        <v>362</v>
      </c>
      <c r="F65" s="224">
        <v>63</v>
      </c>
      <c r="G65" s="224" t="s">
        <v>426</v>
      </c>
      <c r="H65" s="224" t="s">
        <v>404</v>
      </c>
      <c r="I65" s="224">
        <v>43</v>
      </c>
      <c r="J65" s="224">
        <v>1</v>
      </c>
      <c r="K65" s="224">
        <v>155</v>
      </c>
      <c r="L65" s="224">
        <v>320</v>
      </c>
      <c r="M65" s="10">
        <f t="shared" si="2"/>
        <v>4.96</v>
      </c>
    </row>
    <row r="66" spans="1:13" x14ac:dyDescent="0.25">
      <c r="A66" s="101" t="s">
        <v>489</v>
      </c>
      <c r="B66">
        <v>365</v>
      </c>
      <c r="C66">
        <v>200</v>
      </c>
      <c r="D66" s="234">
        <f t="shared" si="0"/>
        <v>7.3</v>
      </c>
      <c r="E66" s="233">
        <f t="shared" si="1"/>
        <v>365</v>
      </c>
      <c r="F66" s="224">
        <v>64</v>
      </c>
      <c r="G66" s="224" t="s">
        <v>426</v>
      </c>
      <c r="H66" s="224" t="s">
        <v>404</v>
      </c>
      <c r="I66" s="224">
        <v>43</v>
      </c>
      <c r="J66" s="224">
        <v>1</v>
      </c>
      <c r="K66" s="224">
        <v>165</v>
      </c>
      <c r="L66" s="224">
        <v>320</v>
      </c>
      <c r="M66" s="10">
        <f t="shared" si="2"/>
        <v>5.28</v>
      </c>
    </row>
    <row r="67" spans="1:13" x14ac:dyDescent="0.25">
      <c r="A67" s="101" t="s">
        <v>489</v>
      </c>
      <c r="B67">
        <v>300</v>
      </c>
      <c r="C67">
        <v>200</v>
      </c>
      <c r="D67" s="234">
        <f t="shared" si="0"/>
        <v>6</v>
      </c>
      <c r="E67" s="233">
        <f t="shared" si="1"/>
        <v>300</v>
      </c>
      <c r="F67" s="224">
        <v>65</v>
      </c>
      <c r="G67" s="224" t="s">
        <v>426</v>
      </c>
      <c r="H67" s="224" t="s">
        <v>404</v>
      </c>
      <c r="I67" s="224">
        <v>43</v>
      </c>
      <c r="J67" s="224">
        <v>1</v>
      </c>
      <c r="K67" s="224">
        <v>160</v>
      </c>
      <c r="L67" s="224">
        <v>320</v>
      </c>
      <c r="M67" s="10">
        <f t="shared" si="2"/>
        <v>5.12</v>
      </c>
    </row>
    <row r="68" spans="1:13" x14ac:dyDescent="0.25">
      <c r="A68" s="101" t="s">
        <v>489</v>
      </c>
      <c r="B68">
        <v>300</v>
      </c>
      <c r="C68">
        <v>200</v>
      </c>
      <c r="D68" s="234">
        <f t="shared" ref="D68:D89" si="3">(B68*C68)/10000</f>
        <v>6</v>
      </c>
      <c r="E68" s="233">
        <f t="shared" ref="E68:E89" si="4">D68*E$2</f>
        <v>300</v>
      </c>
      <c r="F68" s="224">
        <v>66</v>
      </c>
      <c r="G68" s="224" t="s">
        <v>427</v>
      </c>
      <c r="H68" s="224" t="s">
        <v>404</v>
      </c>
      <c r="I68" s="224">
        <v>43</v>
      </c>
      <c r="J68" s="224">
        <v>2</v>
      </c>
      <c r="K68" s="224">
        <v>160</v>
      </c>
      <c r="L68" s="224">
        <v>320</v>
      </c>
      <c r="M68" s="10">
        <f t="shared" ref="M68:M131" si="5">((K68*L68)*J68)/10000</f>
        <v>10.24</v>
      </c>
    </row>
    <row r="69" spans="1:13" x14ac:dyDescent="0.25">
      <c r="A69" s="101" t="s">
        <v>489</v>
      </c>
      <c r="B69">
        <v>310</v>
      </c>
      <c r="C69">
        <v>200</v>
      </c>
      <c r="D69" s="234">
        <f t="shared" si="3"/>
        <v>6.2</v>
      </c>
      <c r="E69" s="233">
        <f t="shared" si="4"/>
        <v>310</v>
      </c>
      <c r="F69" s="224">
        <v>67</v>
      </c>
      <c r="G69" s="224" t="s">
        <v>428</v>
      </c>
      <c r="H69" s="224" t="s">
        <v>404</v>
      </c>
      <c r="I69" s="224">
        <v>43</v>
      </c>
      <c r="J69" s="224">
        <v>2</v>
      </c>
      <c r="K69" s="224">
        <v>162</v>
      </c>
      <c r="L69" s="224">
        <v>320</v>
      </c>
      <c r="M69" s="10">
        <f t="shared" si="5"/>
        <v>10.368</v>
      </c>
    </row>
    <row r="70" spans="1:13" x14ac:dyDescent="0.25">
      <c r="A70" s="101" t="s">
        <v>489</v>
      </c>
      <c r="B70">
        <v>444</v>
      </c>
      <c r="C70">
        <v>335</v>
      </c>
      <c r="D70" s="234">
        <f t="shared" si="3"/>
        <v>14.874000000000001</v>
      </c>
      <c r="E70" s="233">
        <f t="shared" si="4"/>
        <v>743.7</v>
      </c>
      <c r="F70" s="224">
        <v>68</v>
      </c>
      <c r="G70" s="224" t="s">
        <v>429</v>
      </c>
      <c r="H70" s="224" t="s">
        <v>404</v>
      </c>
      <c r="I70" s="224">
        <v>43</v>
      </c>
      <c r="J70" s="224">
        <v>2</v>
      </c>
      <c r="K70" s="224">
        <v>160</v>
      </c>
      <c r="L70" s="224">
        <v>320</v>
      </c>
      <c r="M70" s="10">
        <f t="shared" si="5"/>
        <v>10.24</v>
      </c>
    </row>
    <row r="71" spans="1:13" x14ac:dyDescent="0.25">
      <c r="A71" s="101" t="s">
        <v>490</v>
      </c>
      <c r="B71">
        <v>950</v>
      </c>
      <c r="C71">
        <v>335</v>
      </c>
      <c r="D71" s="234">
        <f t="shared" si="3"/>
        <v>31.824999999999999</v>
      </c>
      <c r="E71" s="233">
        <f t="shared" si="4"/>
        <v>1591.25</v>
      </c>
      <c r="F71" s="224">
        <v>69</v>
      </c>
      <c r="G71" s="224" t="s">
        <v>430</v>
      </c>
      <c r="H71" s="224" t="s">
        <v>404</v>
      </c>
      <c r="I71" s="224">
        <v>43</v>
      </c>
      <c r="J71" s="224">
        <v>2</v>
      </c>
      <c r="K71" s="224">
        <v>168</v>
      </c>
      <c r="L71" s="224">
        <v>320</v>
      </c>
      <c r="M71" s="10">
        <f t="shared" si="5"/>
        <v>10.752000000000001</v>
      </c>
    </row>
    <row r="72" spans="1:13" x14ac:dyDescent="0.25">
      <c r="A72" s="101" t="s">
        <v>490</v>
      </c>
      <c r="B72">
        <v>1731</v>
      </c>
      <c r="C72">
        <v>335</v>
      </c>
      <c r="D72" s="234">
        <f t="shared" si="3"/>
        <v>57.988500000000002</v>
      </c>
      <c r="E72" s="233">
        <f t="shared" si="4"/>
        <v>2899.4250000000002</v>
      </c>
      <c r="F72" s="224">
        <v>70</v>
      </c>
      <c r="G72" s="224" t="s">
        <v>431</v>
      </c>
      <c r="H72" s="224" t="s">
        <v>404</v>
      </c>
      <c r="I72" s="224">
        <v>43</v>
      </c>
      <c r="J72" s="224">
        <v>2</v>
      </c>
      <c r="K72" s="224">
        <v>175</v>
      </c>
      <c r="L72" s="224">
        <v>320</v>
      </c>
      <c r="M72" s="10">
        <f t="shared" si="5"/>
        <v>11.2</v>
      </c>
    </row>
    <row r="73" spans="1:13" x14ac:dyDescent="0.25">
      <c r="A73" s="101" t="s">
        <v>490</v>
      </c>
      <c r="B73">
        <v>1731</v>
      </c>
      <c r="C73">
        <v>335</v>
      </c>
      <c r="D73" s="234">
        <f t="shared" si="3"/>
        <v>57.988500000000002</v>
      </c>
      <c r="E73" s="233">
        <f t="shared" si="4"/>
        <v>2899.4250000000002</v>
      </c>
      <c r="F73" s="224">
        <v>71</v>
      </c>
      <c r="G73" s="224" t="s">
        <v>432</v>
      </c>
      <c r="H73" s="224" t="s">
        <v>404</v>
      </c>
      <c r="I73" s="224">
        <v>43</v>
      </c>
      <c r="J73" s="224">
        <v>2</v>
      </c>
      <c r="K73" s="224">
        <v>168</v>
      </c>
      <c r="L73" s="224">
        <v>320</v>
      </c>
      <c r="M73" s="10">
        <f t="shared" si="5"/>
        <v>10.752000000000001</v>
      </c>
    </row>
    <row r="74" spans="1:13" x14ac:dyDescent="0.25">
      <c r="A74" s="101" t="s">
        <v>490</v>
      </c>
      <c r="B74">
        <v>510</v>
      </c>
      <c r="C74">
        <v>335</v>
      </c>
      <c r="D74" s="234">
        <f t="shared" si="3"/>
        <v>17.085000000000001</v>
      </c>
      <c r="E74" s="233">
        <f t="shared" si="4"/>
        <v>854.25</v>
      </c>
      <c r="F74" s="224">
        <v>72</v>
      </c>
      <c r="G74" s="224" t="s">
        <v>433</v>
      </c>
      <c r="H74" s="224" t="s">
        <v>404</v>
      </c>
      <c r="I74" s="224">
        <v>43</v>
      </c>
      <c r="J74" s="224">
        <v>2</v>
      </c>
      <c r="K74" s="224">
        <v>168</v>
      </c>
      <c r="L74" s="224">
        <v>320</v>
      </c>
      <c r="M74" s="10">
        <f t="shared" si="5"/>
        <v>10.752000000000001</v>
      </c>
    </row>
    <row r="75" spans="1:13" x14ac:dyDescent="0.25">
      <c r="A75" s="101" t="s">
        <v>490</v>
      </c>
      <c r="B75">
        <v>510</v>
      </c>
      <c r="C75">
        <v>335</v>
      </c>
      <c r="D75" s="234">
        <f t="shared" si="3"/>
        <v>17.085000000000001</v>
      </c>
      <c r="E75" s="233">
        <f t="shared" si="4"/>
        <v>854.25</v>
      </c>
      <c r="F75" s="224">
        <v>73</v>
      </c>
      <c r="G75" s="224" t="s">
        <v>434</v>
      </c>
      <c r="H75" s="224" t="s">
        <v>404</v>
      </c>
      <c r="I75" s="224">
        <v>43</v>
      </c>
      <c r="J75" s="224">
        <v>2</v>
      </c>
      <c r="K75" s="224">
        <v>168</v>
      </c>
      <c r="L75" s="224">
        <v>320</v>
      </c>
      <c r="M75" s="10">
        <f t="shared" si="5"/>
        <v>10.752000000000001</v>
      </c>
    </row>
    <row r="76" spans="1:13" x14ac:dyDescent="0.25">
      <c r="A76" s="101" t="s">
        <v>490</v>
      </c>
      <c r="B76">
        <v>335</v>
      </c>
      <c r="C76">
        <v>335</v>
      </c>
      <c r="D76" s="234">
        <f t="shared" si="3"/>
        <v>11.2225</v>
      </c>
      <c r="E76" s="233">
        <f t="shared" si="4"/>
        <v>561.125</v>
      </c>
      <c r="F76" s="224">
        <v>74</v>
      </c>
      <c r="G76" s="224" t="s">
        <v>435</v>
      </c>
      <c r="H76" s="224" t="s">
        <v>404</v>
      </c>
      <c r="I76" s="224">
        <v>43</v>
      </c>
      <c r="J76" s="224">
        <v>2</v>
      </c>
      <c r="K76" s="224">
        <v>165</v>
      </c>
      <c r="L76" s="224">
        <v>320</v>
      </c>
      <c r="M76" s="10">
        <f t="shared" si="5"/>
        <v>10.56</v>
      </c>
    </row>
    <row r="77" spans="1:13" x14ac:dyDescent="0.25">
      <c r="A77" s="101" t="s">
        <v>490</v>
      </c>
      <c r="B77">
        <v>336</v>
      </c>
      <c r="C77">
        <v>335</v>
      </c>
      <c r="D77" s="234">
        <f t="shared" si="3"/>
        <v>11.256</v>
      </c>
      <c r="E77" s="233">
        <f t="shared" si="4"/>
        <v>562.79999999999995</v>
      </c>
      <c r="F77" s="224">
        <v>75</v>
      </c>
      <c r="G77" s="224" t="s">
        <v>436</v>
      </c>
      <c r="H77" s="224" t="s">
        <v>404</v>
      </c>
      <c r="I77" s="224">
        <v>43</v>
      </c>
      <c r="J77" s="224">
        <v>2</v>
      </c>
      <c r="K77" s="224">
        <v>178</v>
      </c>
      <c r="L77" s="224">
        <v>320</v>
      </c>
      <c r="M77" s="10">
        <f t="shared" si="5"/>
        <v>11.391999999999999</v>
      </c>
    </row>
    <row r="78" spans="1:13" x14ac:dyDescent="0.25">
      <c r="A78" s="101" t="s">
        <v>490</v>
      </c>
      <c r="B78">
        <v>323</v>
      </c>
      <c r="C78">
        <v>335</v>
      </c>
      <c r="D78" s="234">
        <f t="shared" si="3"/>
        <v>10.820499999999999</v>
      </c>
      <c r="E78" s="233">
        <f t="shared" si="4"/>
        <v>541.02499999999998</v>
      </c>
      <c r="F78" s="224">
        <v>76</v>
      </c>
      <c r="G78" s="224" t="s">
        <v>437</v>
      </c>
      <c r="H78" s="224" t="s">
        <v>404</v>
      </c>
      <c r="I78" s="224">
        <v>43</v>
      </c>
      <c r="J78" s="224">
        <v>2</v>
      </c>
      <c r="K78" s="224">
        <v>178</v>
      </c>
      <c r="L78" s="224">
        <v>320</v>
      </c>
      <c r="M78" s="10">
        <f t="shared" si="5"/>
        <v>11.391999999999999</v>
      </c>
    </row>
    <row r="79" spans="1:13" x14ac:dyDescent="0.25">
      <c r="A79" s="101" t="s">
        <v>490</v>
      </c>
      <c r="B79">
        <v>324</v>
      </c>
      <c r="C79">
        <v>335</v>
      </c>
      <c r="D79" s="234">
        <f t="shared" si="3"/>
        <v>10.853999999999999</v>
      </c>
      <c r="E79" s="233">
        <f t="shared" si="4"/>
        <v>542.69999999999993</v>
      </c>
      <c r="F79" s="224">
        <v>77</v>
      </c>
      <c r="G79" s="224" t="s">
        <v>438</v>
      </c>
      <c r="H79" s="224" t="s">
        <v>404</v>
      </c>
      <c r="I79" s="224">
        <v>43</v>
      </c>
      <c r="J79" s="224">
        <v>2</v>
      </c>
      <c r="K79" s="224">
        <v>175</v>
      </c>
      <c r="L79" s="224">
        <v>320</v>
      </c>
      <c r="M79" s="10">
        <f t="shared" si="5"/>
        <v>11.2</v>
      </c>
    </row>
    <row r="80" spans="1:13" x14ac:dyDescent="0.25">
      <c r="A80" s="101" t="s">
        <v>490</v>
      </c>
      <c r="B80">
        <v>353</v>
      </c>
      <c r="C80">
        <v>335</v>
      </c>
      <c r="D80" s="234">
        <f t="shared" si="3"/>
        <v>11.8255</v>
      </c>
      <c r="E80" s="233">
        <f t="shared" si="4"/>
        <v>591.27499999999998</v>
      </c>
      <c r="F80" s="224">
        <v>78</v>
      </c>
      <c r="G80" s="224" t="s">
        <v>439</v>
      </c>
      <c r="H80" s="224" t="s">
        <v>404</v>
      </c>
      <c r="I80" s="224">
        <v>43</v>
      </c>
      <c r="J80" s="224">
        <v>2</v>
      </c>
      <c r="K80" s="224">
        <v>175</v>
      </c>
      <c r="L80" s="224">
        <v>320</v>
      </c>
      <c r="M80" s="10">
        <f t="shared" si="5"/>
        <v>11.2</v>
      </c>
    </row>
    <row r="81" spans="1:13" x14ac:dyDescent="0.25">
      <c r="A81" s="101" t="s">
        <v>490</v>
      </c>
      <c r="B81">
        <v>356</v>
      </c>
      <c r="C81">
        <v>335</v>
      </c>
      <c r="D81" s="234">
        <f t="shared" si="3"/>
        <v>11.926</v>
      </c>
      <c r="E81" s="233">
        <f t="shared" si="4"/>
        <v>596.29999999999995</v>
      </c>
      <c r="F81" s="224">
        <v>79</v>
      </c>
      <c r="G81" s="224" t="s">
        <v>440</v>
      </c>
      <c r="H81" s="224" t="s">
        <v>404</v>
      </c>
      <c r="I81" s="224">
        <v>43</v>
      </c>
      <c r="J81" s="224">
        <v>2</v>
      </c>
      <c r="K81" s="224">
        <v>170</v>
      </c>
      <c r="L81" s="224">
        <v>320</v>
      </c>
      <c r="M81" s="10">
        <f t="shared" si="5"/>
        <v>10.88</v>
      </c>
    </row>
    <row r="82" spans="1:13" x14ac:dyDescent="0.25">
      <c r="A82" s="101" t="s">
        <v>490</v>
      </c>
      <c r="B82">
        <v>353</v>
      </c>
      <c r="C82">
        <v>335</v>
      </c>
      <c r="D82" s="234">
        <f t="shared" si="3"/>
        <v>11.8255</v>
      </c>
      <c r="E82" s="233">
        <f t="shared" si="4"/>
        <v>591.27499999999998</v>
      </c>
      <c r="F82" s="224">
        <v>80</v>
      </c>
      <c r="G82" s="224" t="s">
        <v>441</v>
      </c>
      <c r="H82" s="224" t="s">
        <v>404</v>
      </c>
      <c r="I82" s="224">
        <v>43</v>
      </c>
      <c r="J82" s="224">
        <v>2</v>
      </c>
      <c r="K82" s="224">
        <v>177</v>
      </c>
      <c r="L82" s="224">
        <v>200</v>
      </c>
      <c r="M82" s="10">
        <f t="shared" si="5"/>
        <v>7.08</v>
      </c>
    </row>
    <row r="83" spans="1:13" x14ac:dyDescent="0.25">
      <c r="A83" s="101" t="s">
        <v>490</v>
      </c>
      <c r="B83">
        <v>352</v>
      </c>
      <c r="C83">
        <v>335</v>
      </c>
      <c r="D83" s="234">
        <f t="shared" si="3"/>
        <v>11.792</v>
      </c>
      <c r="E83" s="233">
        <f t="shared" si="4"/>
        <v>589.6</v>
      </c>
      <c r="F83" s="224">
        <v>81</v>
      </c>
      <c r="G83" s="224" t="s">
        <v>442</v>
      </c>
      <c r="H83" s="224" t="s">
        <v>404</v>
      </c>
      <c r="I83" s="224">
        <v>43</v>
      </c>
      <c r="J83" s="224">
        <v>2</v>
      </c>
      <c r="K83" s="224">
        <v>180</v>
      </c>
      <c r="L83" s="224">
        <v>200</v>
      </c>
      <c r="M83" s="10">
        <f t="shared" si="5"/>
        <v>7.2</v>
      </c>
    </row>
    <row r="84" spans="1:13" x14ac:dyDescent="0.25">
      <c r="A84" s="101" t="s">
        <v>490</v>
      </c>
      <c r="B84">
        <v>337</v>
      </c>
      <c r="C84">
        <v>335</v>
      </c>
      <c r="D84" s="234">
        <f t="shared" si="3"/>
        <v>11.2895</v>
      </c>
      <c r="E84" s="233">
        <f t="shared" si="4"/>
        <v>564.47500000000002</v>
      </c>
      <c r="F84" s="224">
        <v>82</v>
      </c>
      <c r="G84" s="224" t="s">
        <v>443</v>
      </c>
      <c r="H84" s="224" t="s">
        <v>404</v>
      </c>
      <c r="I84" s="224">
        <v>43</v>
      </c>
      <c r="J84" s="224">
        <v>2</v>
      </c>
      <c r="K84" s="224">
        <v>180</v>
      </c>
      <c r="L84" s="224">
        <v>200</v>
      </c>
      <c r="M84" s="10">
        <f t="shared" si="5"/>
        <v>7.2</v>
      </c>
    </row>
    <row r="85" spans="1:13" x14ac:dyDescent="0.25">
      <c r="A85" s="101" t="s">
        <v>490</v>
      </c>
      <c r="B85">
        <v>342</v>
      </c>
      <c r="C85">
        <v>335</v>
      </c>
      <c r="D85" s="234">
        <f t="shared" si="3"/>
        <v>11.457000000000001</v>
      </c>
      <c r="E85" s="233">
        <f t="shared" si="4"/>
        <v>572.85</v>
      </c>
      <c r="F85" s="224">
        <v>83</v>
      </c>
      <c r="G85" s="224" t="s">
        <v>444</v>
      </c>
      <c r="H85" s="224" t="s">
        <v>404</v>
      </c>
      <c r="I85" s="224">
        <v>43</v>
      </c>
      <c r="J85" s="224">
        <v>2</v>
      </c>
      <c r="K85" s="224">
        <v>180</v>
      </c>
      <c r="L85" s="224">
        <v>200</v>
      </c>
      <c r="M85" s="10">
        <f t="shared" si="5"/>
        <v>7.2</v>
      </c>
    </row>
    <row r="86" spans="1:13" x14ac:dyDescent="0.25">
      <c r="A86" s="101" t="s">
        <v>490</v>
      </c>
      <c r="B86">
        <v>735</v>
      </c>
      <c r="C86">
        <v>335</v>
      </c>
      <c r="D86" s="234">
        <f t="shared" si="3"/>
        <v>24.622499999999999</v>
      </c>
      <c r="E86" s="233">
        <f t="shared" si="4"/>
        <v>1231.125</v>
      </c>
      <c r="F86" s="224">
        <v>84</v>
      </c>
      <c r="G86" s="224" t="s">
        <v>445</v>
      </c>
      <c r="H86" s="224" t="s">
        <v>404</v>
      </c>
      <c r="I86" s="224">
        <v>43</v>
      </c>
      <c r="J86" s="224">
        <v>2</v>
      </c>
      <c r="K86" s="224">
        <v>180</v>
      </c>
      <c r="L86" s="224">
        <v>200</v>
      </c>
      <c r="M86" s="10">
        <f t="shared" si="5"/>
        <v>7.2</v>
      </c>
    </row>
    <row r="87" spans="1:13" x14ac:dyDescent="0.25">
      <c r="A87" s="101" t="s">
        <v>490</v>
      </c>
      <c r="B87">
        <v>434</v>
      </c>
      <c r="C87">
        <v>335</v>
      </c>
      <c r="D87" s="234">
        <f t="shared" si="3"/>
        <v>14.539</v>
      </c>
      <c r="E87" s="233">
        <f t="shared" si="4"/>
        <v>726.94999999999993</v>
      </c>
      <c r="F87" s="224">
        <v>85</v>
      </c>
      <c r="G87" s="224" t="s">
        <v>446</v>
      </c>
      <c r="H87" s="224" t="s">
        <v>404</v>
      </c>
      <c r="I87" s="224">
        <v>43</v>
      </c>
      <c r="J87" s="224">
        <v>2</v>
      </c>
      <c r="K87" s="224">
        <v>147</v>
      </c>
      <c r="L87" s="224">
        <v>200</v>
      </c>
      <c r="M87" s="10">
        <f t="shared" si="5"/>
        <v>5.88</v>
      </c>
    </row>
    <row r="88" spans="1:13" x14ac:dyDescent="0.25">
      <c r="A88" s="101" t="s">
        <v>490</v>
      </c>
      <c r="B88">
        <v>1377</v>
      </c>
      <c r="C88">
        <v>335</v>
      </c>
      <c r="D88" s="234">
        <f t="shared" si="3"/>
        <v>46.1295</v>
      </c>
      <c r="E88" s="233">
        <f t="shared" si="4"/>
        <v>2306.4749999999999</v>
      </c>
      <c r="F88" s="224">
        <v>86</v>
      </c>
      <c r="G88" s="224" t="s">
        <v>447</v>
      </c>
      <c r="H88" s="224" t="s">
        <v>404</v>
      </c>
      <c r="I88" s="224">
        <v>43</v>
      </c>
      <c r="J88" s="224">
        <v>2</v>
      </c>
      <c r="K88" s="224">
        <v>147</v>
      </c>
      <c r="L88" s="224">
        <v>200</v>
      </c>
      <c r="M88" s="10">
        <f t="shared" si="5"/>
        <v>5.88</v>
      </c>
    </row>
    <row r="89" spans="1:13" x14ac:dyDescent="0.25">
      <c r="A89" s="101" t="s">
        <v>490</v>
      </c>
      <c r="B89">
        <v>581</v>
      </c>
      <c r="C89">
        <v>335</v>
      </c>
      <c r="D89" s="234">
        <f t="shared" si="3"/>
        <v>19.4635</v>
      </c>
      <c r="E89" s="233">
        <f t="shared" si="4"/>
        <v>973.17499999999995</v>
      </c>
      <c r="F89" s="224">
        <v>87</v>
      </c>
      <c r="G89" s="224" t="s">
        <v>448</v>
      </c>
      <c r="H89" s="224" t="s">
        <v>404</v>
      </c>
      <c r="I89" s="224">
        <v>43</v>
      </c>
      <c r="J89" s="224">
        <v>2</v>
      </c>
      <c r="K89" s="224">
        <v>154</v>
      </c>
      <c r="L89" s="224">
        <v>200</v>
      </c>
      <c r="M89" s="10">
        <f t="shared" si="5"/>
        <v>6.16</v>
      </c>
    </row>
    <row r="90" spans="1:13" x14ac:dyDescent="0.25">
      <c r="D90" s="234">
        <f>SUM(D3:D89)</f>
        <v>1071.1380000000004</v>
      </c>
      <c r="E90" s="135">
        <f>SUM(E2:E89)</f>
        <v>53606.900000000009</v>
      </c>
      <c r="F90" s="224">
        <v>88</v>
      </c>
      <c r="G90" s="224" t="s">
        <v>449</v>
      </c>
      <c r="H90" s="224" t="s">
        <v>404</v>
      </c>
      <c r="I90" s="224">
        <v>43</v>
      </c>
      <c r="J90" s="224">
        <v>1</v>
      </c>
      <c r="K90" s="224">
        <v>123</v>
      </c>
      <c r="L90" s="224">
        <v>180</v>
      </c>
      <c r="M90" s="10">
        <f t="shared" si="5"/>
        <v>2.214</v>
      </c>
    </row>
    <row r="91" spans="1:13" x14ac:dyDescent="0.25">
      <c r="F91" s="224">
        <v>89</v>
      </c>
      <c r="G91" s="224" t="s">
        <v>449</v>
      </c>
      <c r="H91" s="224" t="s">
        <v>404</v>
      </c>
      <c r="I91" s="224">
        <v>43</v>
      </c>
      <c r="J91" s="224">
        <v>1</v>
      </c>
      <c r="K91" s="224">
        <v>163</v>
      </c>
      <c r="L91" s="224">
        <v>180</v>
      </c>
      <c r="M91" s="10">
        <f t="shared" si="5"/>
        <v>2.9340000000000002</v>
      </c>
    </row>
    <row r="92" spans="1:13" x14ac:dyDescent="0.25">
      <c r="F92" s="224">
        <v>90</v>
      </c>
      <c r="G92" s="224" t="s">
        <v>449</v>
      </c>
      <c r="H92" s="224" t="s">
        <v>404</v>
      </c>
      <c r="I92" s="224">
        <v>43</v>
      </c>
      <c r="J92" s="224">
        <v>1</v>
      </c>
      <c r="K92" s="224">
        <v>96</v>
      </c>
      <c r="L92" s="224">
        <v>180</v>
      </c>
      <c r="M92" s="10">
        <f t="shared" si="5"/>
        <v>1.728</v>
      </c>
    </row>
    <row r="93" spans="1:13" x14ac:dyDescent="0.25">
      <c r="F93" s="224">
        <v>91</v>
      </c>
      <c r="G93" s="224" t="s">
        <v>449</v>
      </c>
      <c r="H93" s="224" t="s">
        <v>404</v>
      </c>
      <c r="I93" s="224">
        <v>43</v>
      </c>
      <c r="J93" s="224">
        <v>1</v>
      </c>
      <c r="K93" s="224">
        <v>110</v>
      </c>
      <c r="L93" s="224">
        <v>180</v>
      </c>
      <c r="M93" s="10">
        <f t="shared" si="5"/>
        <v>1.98</v>
      </c>
    </row>
    <row r="94" spans="1:13" x14ac:dyDescent="0.25">
      <c r="F94" s="224">
        <v>92</v>
      </c>
      <c r="G94" s="224" t="s">
        <v>449</v>
      </c>
      <c r="H94" s="224" t="s">
        <v>404</v>
      </c>
      <c r="I94" s="224">
        <v>43</v>
      </c>
      <c r="J94" s="224">
        <v>1</v>
      </c>
      <c r="K94" s="224">
        <v>118</v>
      </c>
      <c r="L94" s="224">
        <v>200</v>
      </c>
      <c r="M94" s="10">
        <f t="shared" si="5"/>
        <v>2.36</v>
      </c>
    </row>
    <row r="95" spans="1:13" x14ac:dyDescent="0.25">
      <c r="F95" s="224">
        <v>93</v>
      </c>
      <c r="G95" s="224" t="s">
        <v>449</v>
      </c>
      <c r="H95" s="224" t="s">
        <v>404</v>
      </c>
      <c r="I95" s="224">
        <v>43</v>
      </c>
      <c r="J95" s="224">
        <v>2</v>
      </c>
      <c r="K95" s="224">
        <v>156</v>
      </c>
      <c r="L95" s="224">
        <v>200</v>
      </c>
      <c r="M95" s="10">
        <f t="shared" si="5"/>
        <v>6.24</v>
      </c>
    </row>
    <row r="96" spans="1:13" x14ac:dyDescent="0.25">
      <c r="F96" s="224">
        <v>94</v>
      </c>
      <c r="G96" s="226" t="s">
        <v>450</v>
      </c>
      <c r="H96" s="224" t="s">
        <v>404</v>
      </c>
      <c r="I96" s="224">
        <v>43</v>
      </c>
      <c r="J96" s="224">
        <v>1</v>
      </c>
      <c r="K96" s="224">
        <v>120</v>
      </c>
      <c r="L96" s="224">
        <v>320</v>
      </c>
      <c r="M96" s="10">
        <f t="shared" si="5"/>
        <v>3.84</v>
      </c>
    </row>
    <row r="97" spans="6:13" x14ac:dyDescent="0.25">
      <c r="F97" s="224">
        <v>95</v>
      </c>
      <c r="G97" s="226" t="s">
        <v>450</v>
      </c>
      <c r="H97" s="224" t="s">
        <v>404</v>
      </c>
      <c r="I97" s="224">
        <v>43</v>
      </c>
      <c r="J97" s="224">
        <v>1</v>
      </c>
      <c r="K97" s="224">
        <v>160</v>
      </c>
      <c r="L97" s="224">
        <v>320</v>
      </c>
      <c r="M97" s="10">
        <f t="shared" si="5"/>
        <v>5.12</v>
      </c>
    </row>
    <row r="98" spans="6:13" x14ac:dyDescent="0.25">
      <c r="F98" s="224">
        <v>96</v>
      </c>
      <c r="G98" s="226" t="s">
        <v>450</v>
      </c>
      <c r="H98" s="224" t="s">
        <v>404</v>
      </c>
      <c r="I98" s="224">
        <v>43</v>
      </c>
      <c r="J98" s="224">
        <v>2</v>
      </c>
      <c r="K98" s="224">
        <v>145</v>
      </c>
      <c r="L98" s="224">
        <v>320</v>
      </c>
      <c r="M98" s="10">
        <f t="shared" si="5"/>
        <v>9.2799999999999994</v>
      </c>
    </row>
    <row r="99" spans="6:13" x14ac:dyDescent="0.25">
      <c r="F99" s="224">
        <v>97</v>
      </c>
      <c r="G99" s="226" t="s">
        <v>450</v>
      </c>
      <c r="H99" s="224" t="s">
        <v>404</v>
      </c>
      <c r="I99" s="224">
        <v>43</v>
      </c>
      <c r="J99" s="224">
        <v>1</v>
      </c>
      <c r="K99" s="224">
        <v>118</v>
      </c>
      <c r="L99" s="224">
        <v>320</v>
      </c>
      <c r="M99" s="10">
        <f t="shared" si="5"/>
        <v>3.7759999999999998</v>
      </c>
    </row>
    <row r="100" spans="6:13" x14ac:dyDescent="0.25">
      <c r="F100" s="224">
        <v>98</v>
      </c>
      <c r="G100" s="226" t="s">
        <v>450</v>
      </c>
      <c r="H100" s="224" t="s">
        <v>404</v>
      </c>
      <c r="I100" s="224">
        <v>43</v>
      </c>
      <c r="J100" s="224">
        <v>1</v>
      </c>
      <c r="K100" s="224">
        <v>160</v>
      </c>
      <c r="L100" s="224">
        <v>320</v>
      </c>
      <c r="M100" s="10">
        <f t="shared" si="5"/>
        <v>5.12</v>
      </c>
    </row>
    <row r="101" spans="6:13" x14ac:dyDescent="0.25">
      <c r="F101" s="224">
        <v>99</v>
      </c>
      <c r="G101" s="226" t="s">
        <v>450</v>
      </c>
      <c r="H101" s="224" t="s">
        <v>404</v>
      </c>
      <c r="I101" s="224">
        <v>43</v>
      </c>
      <c r="J101" s="224">
        <v>1</v>
      </c>
      <c r="K101" s="224">
        <v>156</v>
      </c>
      <c r="L101" s="224">
        <v>320</v>
      </c>
      <c r="M101" s="10">
        <f t="shared" si="5"/>
        <v>4.992</v>
      </c>
    </row>
    <row r="102" spans="6:13" x14ac:dyDescent="0.25">
      <c r="F102" s="224">
        <v>100</v>
      </c>
      <c r="G102" s="226" t="s">
        <v>450</v>
      </c>
      <c r="H102" s="224" t="s">
        <v>404</v>
      </c>
      <c r="I102" s="224">
        <v>43</v>
      </c>
      <c r="J102" s="224">
        <v>2</v>
      </c>
      <c r="K102" s="224">
        <v>160</v>
      </c>
      <c r="L102" s="224">
        <v>320</v>
      </c>
      <c r="M102" s="10">
        <f t="shared" si="5"/>
        <v>10.24</v>
      </c>
    </row>
    <row r="103" spans="6:13" x14ac:dyDescent="0.25">
      <c r="F103" s="224">
        <v>101</v>
      </c>
      <c r="G103" s="226" t="s">
        <v>450</v>
      </c>
      <c r="H103" s="224" t="s">
        <v>404</v>
      </c>
      <c r="I103" s="224">
        <v>43</v>
      </c>
      <c r="J103" s="224">
        <v>1</v>
      </c>
      <c r="K103" s="224">
        <v>156</v>
      </c>
      <c r="L103" s="224">
        <v>320</v>
      </c>
      <c r="M103" s="10">
        <f t="shared" si="5"/>
        <v>4.992</v>
      </c>
    </row>
    <row r="104" spans="6:13" x14ac:dyDescent="0.25">
      <c r="F104" s="224">
        <v>102</v>
      </c>
      <c r="G104" s="224" t="s">
        <v>451</v>
      </c>
      <c r="H104" s="224" t="s">
        <v>404</v>
      </c>
      <c r="I104" s="224">
        <v>43</v>
      </c>
      <c r="J104" s="224">
        <v>2</v>
      </c>
      <c r="K104" s="224">
        <v>162</v>
      </c>
      <c r="L104" s="224">
        <v>320</v>
      </c>
      <c r="M104" s="10">
        <f t="shared" si="5"/>
        <v>10.368</v>
      </c>
    </row>
    <row r="105" spans="6:13" x14ac:dyDescent="0.25">
      <c r="F105" s="224">
        <v>103</v>
      </c>
      <c r="G105" s="224" t="s">
        <v>452</v>
      </c>
      <c r="H105" s="224" t="s">
        <v>404</v>
      </c>
      <c r="I105" s="224">
        <v>43</v>
      </c>
      <c r="J105" s="224">
        <v>2</v>
      </c>
      <c r="K105" s="224">
        <v>162</v>
      </c>
      <c r="L105" s="224">
        <v>320</v>
      </c>
      <c r="M105" s="10">
        <f t="shared" si="5"/>
        <v>10.368</v>
      </c>
    </row>
    <row r="106" spans="6:13" x14ac:dyDescent="0.25">
      <c r="F106" s="224">
        <v>104</v>
      </c>
      <c r="G106" s="224" t="s">
        <v>453</v>
      </c>
      <c r="H106" s="224" t="s">
        <v>404</v>
      </c>
      <c r="I106" s="224">
        <v>43</v>
      </c>
      <c r="J106" s="224">
        <v>2</v>
      </c>
      <c r="K106" s="224">
        <v>168</v>
      </c>
      <c r="L106" s="224">
        <v>320</v>
      </c>
      <c r="M106" s="10">
        <f t="shared" si="5"/>
        <v>10.752000000000001</v>
      </c>
    </row>
    <row r="107" spans="6:13" x14ac:dyDescent="0.25">
      <c r="F107" s="224">
        <v>105</v>
      </c>
      <c r="G107" s="224" t="s">
        <v>454</v>
      </c>
      <c r="H107" s="224" t="s">
        <v>404</v>
      </c>
      <c r="I107" s="224">
        <v>43</v>
      </c>
      <c r="J107" s="224">
        <v>2</v>
      </c>
      <c r="K107" s="224">
        <v>166</v>
      </c>
      <c r="L107" s="224">
        <v>320</v>
      </c>
      <c r="M107" s="10">
        <f t="shared" si="5"/>
        <v>10.624000000000001</v>
      </c>
    </row>
    <row r="108" spans="6:13" x14ac:dyDescent="0.25">
      <c r="F108" s="224">
        <v>106</v>
      </c>
      <c r="G108" s="224" t="s">
        <v>455</v>
      </c>
      <c r="H108" s="224" t="s">
        <v>404</v>
      </c>
      <c r="I108" s="224">
        <v>43</v>
      </c>
      <c r="J108" s="224">
        <v>2</v>
      </c>
      <c r="K108" s="224">
        <v>160</v>
      </c>
      <c r="L108" s="224">
        <v>320</v>
      </c>
      <c r="M108" s="10">
        <f t="shared" si="5"/>
        <v>10.24</v>
      </c>
    </row>
    <row r="109" spans="6:13" x14ac:dyDescent="0.25">
      <c r="F109" s="224">
        <v>107</v>
      </c>
      <c r="G109" s="224" t="s">
        <v>455</v>
      </c>
      <c r="H109" s="224" t="s">
        <v>404</v>
      </c>
      <c r="I109" s="224">
        <v>43</v>
      </c>
      <c r="J109" s="224">
        <v>2</v>
      </c>
      <c r="K109" s="224">
        <v>177</v>
      </c>
      <c r="L109" s="224">
        <v>320</v>
      </c>
      <c r="M109" s="10">
        <f t="shared" si="5"/>
        <v>11.327999999999999</v>
      </c>
    </row>
    <row r="110" spans="6:13" x14ac:dyDescent="0.25">
      <c r="F110" s="224">
        <v>108</v>
      </c>
      <c r="G110" s="224" t="s">
        <v>455</v>
      </c>
      <c r="H110" s="224" t="s">
        <v>404</v>
      </c>
      <c r="I110" s="224">
        <v>43</v>
      </c>
      <c r="J110" s="224">
        <v>2</v>
      </c>
      <c r="K110" s="224">
        <v>175</v>
      </c>
      <c r="L110" s="224">
        <v>320</v>
      </c>
      <c r="M110" s="10">
        <f t="shared" si="5"/>
        <v>11.2</v>
      </c>
    </row>
    <row r="111" spans="6:13" x14ac:dyDescent="0.25">
      <c r="F111" s="224">
        <v>109</v>
      </c>
      <c r="G111" s="224" t="s">
        <v>456</v>
      </c>
      <c r="H111" s="224" t="s">
        <v>404</v>
      </c>
      <c r="I111" s="224">
        <v>43</v>
      </c>
      <c r="J111" s="224">
        <v>6</v>
      </c>
      <c r="K111" s="224">
        <v>168</v>
      </c>
      <c r="L111" s="224">
        <v>320</v>
      </c>
      <c r="M111" s="10">
        <f t="shared" si="5"/>
        <v>32.256</v>
      </c>
    </row>
    <row r="112" spans="6:13" x14ac:dyDescent="0.25">
      <c r="F112" s="224">
        <v>110</v>
      </c>
      <c r="G112" s="224" t="s">
        <v>456</v>
      </c>
      <c r="H112" s="224" t="s">
        <v>404</v>
      </c>
      <c r="I112" s="224">
        <v>43</v>
      </c>
      <c r="J112" s="224">
        <v>2</v>
      </c>
      <c r="K112" s="224">
        <v>164</v>
      </c>
      <c r="L112" s="224">
        <v>320</v>
      </c>
      <c r="M112" s="10">
        <f t="shared" si="5"/>
        <v>10.496</v>
      </c>
    </row>
    <row r="113" spans="6:13" x14ac:dyDescent="0.25">
      <c r="F113" s="224">
        <v>111</v>
      </c>
      <c r="G113" s="224" t="s">
        <v>456</v>
      </c>
      <c r="H113" s="224" t="s">
        <v>404</v>
      </c>
      <c r="I113" s="224">
        <v>43</v>
      </c>
      <c r="J113" s="224">
        <v>1</v>
      </c>
      <c r="K113" s="224">
        <v>170</v>
      </c>
      <c r="L113" s="224">
        <v>320</v>
      </c>
      <c r="M113" s="10">
        <f t="shared" si="5"/>
        <v>5.44</v>
      </c>
    </row>
    <row r="114" spans="6:13" x14ac:dyDescent="0.25">
      <c r="F114" s="224">
        <v>112</v>
      </c>
      <c r="G114" s="224" t="s">
        <v>456</v>
      </c>
      <c r="H114" s="224" t="s">
        <v>404</v>
      </c>
      <c r="I114" s="224">
        <v>43</v>
      </c>
      <c r="J114" s="224">
        <v>1</v>
      </c>
      <c r="K114" s="224">
        <v>230</v>
      </c>
      <c r="L114" s="224">
        <v>320</v>
      </c>
      <c r="M114" s="10">
        <f t="shared" si="5"/>
        <v>7.36</v>
      </c>
    </row>
    <row r="115" spans="6:13" x14ac:dyDescent="0.25">
      <c r="F115" s="224">
        <v>113</v>
      </c>
      <c r="G115" s="224" t="s">
        <v>456</v>
      </c>
      <c r="H115" s="224" t="s">
        <v>404</v>
      </c>
      <c r="I115" s="224">
        <v>43</v>
      </c>
      <c r="J115" s="224">
        <v>1</v>
      </c>
      <c r="K115" s="224">
        <v>140</v>
      </c>
      <c r="L115" s="224">
        <v>320</v>
      </c>
      <c r="M115" s="10">
        <f t="shared" si="5"/>
        <v>4.4800000000000004</v>
      </c>
    </row>
    <row r="116" spans="6:13" x14ac:dyDescent="0.25">
      <c r="F116" s="224">
        <v>114</v>
      </c>
      <c r="G116" s="224" t="s">
        <v>456</v>
      </c>
      <c r="H116" s="224" t="s">
        <v>404</v>
      </c>
      <c r="I116" s="224">
        <v>43</v>
      </c>
      <c r="J116" s="224">
        <v>1</v>
      </c>
      <c r="K116" s="224">
        <v>150</v>
      </c>
      <c r="L116" s="224">
        <v>320</v>
      </c>
      <c r="M116" s="10">
        <f t="shared" si="5"/>
        <v>4.8</v>
      </c>
    </row>
    <row r="117" spans="6:13" x14ac:dyDescent="0.25">
      <c r="F117" s="224">
        <v>115</v>
      </c>
      <c r="G117" s="224" t="s">
        <v>456</v>
      </c>
      <c r="H117" s="224" t="s">
        <v>404</v>
      </c>
      <c r="I117" s="224">
        <v>43</v>
      </c>
      <c r="J117" s="224">
        <v>6</v>
      </c>
      <c r="K117" s="224">
        <v>168</v>
      </c>
      <c r="L117" s="224">
        <v>320</v>
      </c>
      <c r="M117" s="10">
        <f t="shared" si="5"/>
        <v>32.256</v>
      </c>
    </row>
    <row r="118" spans="6:13" x14ac:dyDescent="0.25">
      <c r="F118" s="224">
        <v>116</v>
      </c>
      <c r="G118" s="224" t="s">
        <v>456</v>
      </c>
      <c r="H118" s="224" t="s">
        <v>404</v>
      </c>
      <c r="I118" s="224">
        <v>43</v>
      </c>
      <c r="J118" s="224">
        <v>1</v>
      </c>
      <c r="K118" s="224">
        <v>152</v>
      </c>
      <c r="L118" s="224">
        <v>320</v>
      </c>
      <c r="M118" s="10">
        <f t="shared" si="5"/>
        <v>4.8639999999999999</v>
      </c>
    </row>
    <row r="119" spans="6:13" x14ac:dyDescent="0.25">
      <c r="F119" s="224">
        <v>117</v>
      </c>
      <c r="G119" s="224" t="s">
        <v>456</v>
      </c>
      <c r="H119" s="224" t="s">
        <v>404</v>
      </c>
      <c r="I119" s="224">
        <v>43</v>
      </c>
      <c r="J119" s="224">
        <v>1</v>
      </c>
      <c r="K119" s="224">
        <v>142</v>
      </c>
      <c r="L119" s="224">
        <v>320</v>
      </c>
      <c r="M119" s="10">
        <f t="shared" si="5"/>
        <v>4.5439999999999996</v>
      </c>
    </row>
    <row r="120" spans="6:13" x14ac:dyDescent="0.25">
      <c r="F120" s="224">
        <v>118</v>
      </c>
      <c r="G120" s="224" t="s">
        <v>456</v>
      </c>
      <c r="H120" s="224" t="s">
        <v>404</v>
      </c>
      <c r="I120" s="224">
        <v>43</v>
      </c>
      <c r="J120" s="224">
        <v>1</v>
      </c>
      <c r="K120" s="224">
        <v>227</v>
      </c>
      <c r="L120" s="224">
        <v>320</v>
      </c>
      <c r="M120" s="10">
        <f t="shared" si="5"/>
        <v>7.2640000000000002</v>
      </c>
    </row>
    <row r="121" spans="6:13" x14ac:dyDescent="0.25">
      <c r="F121" s="224">
        <v>119</v>
      </c>
      <c r="G121" s="224" t="s">
        <v>456</v>
      </c>
      <c r="H121" s="224" t="s">
        <v>404</v>
      </c>
      <c r="I121" s="224">
        <v>43</v>
      </c>
      <c r="J121" s="224">
        <v>2</v>
      </c>
      <c r="K121" s="224">
        <v>165</v>
      </c>
      <c r="L121" s="224">
        <v>320</v>
      </c>
      <c r="M121" s="10">
        <f t="shared" si="5"/>
        <v>10.56</v>
      </c>
    </row>
    <row r="122" spans="6:13" x14ac:dyDescent="0.25">
      <c r="F122" s="224">
        <v>120</v>
      </c>
      <c r="G122" s="224" t="s">
        <v>456</v>
      </c>
      <c r="H122" s="224" t="s">
        <v>404</v>
      </c>
      <c r="I122" s="224">
        <v>43</v>
      </c>
      <c r="J122" s="224">
        <v>1</v>
      </c>
      <c r="K122" s="224">
        <v>163</v>
      </c>
      <c r="L122" s="224">
        <v>320</v>
      </c>
      <c r="M122" s="10">
        <f t="shared" si="5"/>
        <v>5.2160000000000002</v>
      </c>
    </row>
    <row r="123" spans="6:13" x14ac:dyDescent="0.25">
      <c r="F123" s="224">
        <v>121</v>
      </c>
      <c r="G123" s="224" t="s">
        <v>456</v>
      </c>
      <c r="H123" s="224" t="s">
        <v>404</v>
      </c>
      <c r="I123" s="224">
        <v>43</v>
      </c>
      <c r="J123" s="224">
        <v>1</v>
      </c>
      <c r="K123" s="224">
        <v>172</v>
      </c>
      <c r="L123" s="224">
        <v>320</v>
      </c>
      <c r="M123" s="10">
        <f t="shared" si="5"/>
        <v>5.5039999999999996</v>
      </c>
    </row>
    <row r="124" spans="6:13" x14ac:dyDescent="0.25">
      <c r="F124" s="224">
        <v>122</v>
      </c>
      <c r="G124" s="224" t="s">
        <v>456</v>
      </c>
      <c r="H124" s="224" t="s">
        <v>404</v>
      </c>
      <c r="I124" s="224">
        <v>43</v>
      </c>
      <c r="J124" s="224">
        <v>1</v>
      </c>
      <c r="K124" s="224">
        <v>168</v>
      </c>
      <c r="L124" s="224">
        <v>320</v>
      </c>
      <c r="M124" s="10">
        <f t="shared" si="5"/>
        <v>5.3760000000000003</v>
      </c>
    </row>
    <row r="125" spans="6:13" x14ac:dyDescent="0.25">
      <c r="F125" s="224">
        <v>123</v>
      </c>
      <c r="G125" s="224" t="s">
        <v>457</v>
      </c>
      <c r="H125" s="224" t="s">
        <v>404</v>
      </c>
      <c r="I125" s="224">
        <v>43</v>
      </c>
      <c r="J125" s="224">
        <v>2</v>
      </c>
      <c r="K125" s="224">
        <v>175</v>
      </c>
      <c r="L125" s="224">
        <v>320</v>
      </c>
      <c r="M125" s="10">
        <f t="shared" si="5"/>
        <v>11.2</v>
      </c>
    </row>
    <row r="126" spans="6:13" x14ac:dyDescent="0.25">
      <c r="F126" s="224">
        <v>124</v>
      </c>
      <c r="G126" s="224" t="s">
        <v>458</v>
      </c>
      <c r="H126" s="224" t="s">
        <v>404</v>
      </c>
      <c r="I126" s="224">
        <v>43</v>
      </c>
      <c r="J126" s="224">
        <v>2</v>
      </c>
      <c r="K126" s="224">
        <v>178</v>
      </c>
      <c r="L126" s="224">
        <v>320</v>
      </c>
      <c r="M126" s="10">
        <f t="shared" si="5"/>
        <v>11.391999999999999</v>
      </c>
    </row>
    <row r="127" spans="6:13" x14ac:dyDescent="0.25">
      <c r="F127" s="224">
        <v>125</v>
      </c>
      <c r="G127" s="224" t="s">
        <v>459</v>
      </c>
      <c r="H127" s="224" t="s">
        <v>404</v>
      </c>
      <c r="I127" s="224">
        <v>43</v>
      </c>
      <c r="J127" s="224">
        <v>2</v>
      </c>
      <c r="K127" s="224">
        <v>178</v>
      </c>
      <c r="L127" s="224">
        <v>320</v>
      </c>
      <c r="M127" s="10">
        <f t="shared" si="5"/>
        <v>11.391999999999999</v>
      </c>
    </row>
    <row r="128" spans="6:13" x14ac:dyDescent="0.25">
      <c r="F128" s="224">
        <v>126</v>
      </c>
      <c r="G128" s="224" t="s">
        <v>460</v>
      </c>
      <c r="H128" s="224" t="s">
        <v>404</v>
      </c>
      <c r="I128" s="224">
        <v>43</v>
      </c>
      <c r="J128" s="224">
        <v>2</v>
      </c>
      <c r="K128" s="224">
        <v>175</v>
      </c>
      <c r="L128" s="224">
        <v>320</v>
      </c>
      <c r="M128" s="10">
        <f t="shared" si="5"/>
        <v>11.2</v>
      </c>
    </row>
    <row r="129" spans="6:13" x14ac:dyDescent="0.25">
      <c r="F129" s="224">
        <v>127</v>
      </c>
      <c r="G129" s="224" t="s">
        <v>461</v>
      </c>
      <c r="H129" s="224" t="s">
        <v>404</v>
      </c>
      <c r="I129" s="224">
        <v>43</v>
      </c>
      <c r="J129" s="224">
        <v>2</v>
      </c>
      <c r="K129" s="224">
        <v>175</v>
      </c>
      <c r="L129" s="224">
        <v>320</v>
      </c>
      <c r="M129" s="10">
        <f t="shared" si="5"/>
        <v>11.2</v>
      </c>
    </row>
    <row r="130" spans="6:13" x14ac:dyDescent="0.25">
      <c r="F130" s="224">
        <v>128</v>
      </c>
      <c r="G130" s="224" t="s">
        <v>461</v>
      </c>
      <c r="H130" s="224" t="s">
        <v>404</v>
      </c>
      <c r="I130" s="224">
        <v>43</v>
      </c>
      <c r="J130" s="224">
        <v>1</v>
      </c>
      <c r="K130" s="224">
        <v>152</v>
      </c>
      <c r="L130" s="224">
        <v>320</v>
      </c>
      <c r="M130" s="10">
        <f t="shared" si="5"/>
        <v>4.8639999999999999</v>
      </c>
    </row>
    <row r="131" spans="6:13" x14ac:dyDescent="0.25">
      <c r="F131" s="224">
        <v>129</v>
      </c>
      <c r="G131" s="224" t="s">
        <v>461</v>
      </c>
      <c r="H131" s="224" t="s">
        <v>404</v>
      </c>
      <c r="I131" s="224">
        <v>43</v>
      </c>
      <c r="J131" s="224">
        <v>1</v>
      </c>
      <c r="K131" s="224">
        <v>155</v>
      </c>
      <c r="L131" s="224">
        <v>320</v>
      </c>
      <c r="M131" s="10">
        <f t="shared" si="5"/>
        <v>4.96</v>
      </c>
    </row>
    <row r="132" spans="6:13" x14ac:dyDescent="0.25">
      <c r="F132" s="224">
        <v>130</v>
      </c>
      <c r="G132" s="224" t="s">
        <v>461</v>
      </c>
      <c r="H132" s="224" t="s">
        <v>404</v>
      </c>
      <c r="I132" s="224">
        <v>43</v>
      </c>
      <c r="J132" s="224">
        <v>1</v>
      </c>
      <c r="K132" s="224">
        <v>148</v>
      </c>
      <c r="L132" s="224">
        <v>320</v>
      </c>
      <c r="M132" s="10">
        <f t="shared" ref="M132:M140" si="6">((K132*L132)*J132)/10000</f>
        <v>4.7359999999999998</v>
      </c>
    </row>
    <row r="133" spans="6:13" x14ac:dyDescent="0.25">
      <c r="F133" s="224">
        <v>131</v>
      </c>
      <c r="G133" s="224" t="s">
        <v>462</v>
      </c>
      <c r="H133" s="224" t="s">
        <v>404</v>
      </c>
      <c r="I133" s="224">
        <v>43</v>
      </c>
      <c r="J133" s="224">
        <v>2</v>
      </c>
      <c r="K133" s="224">
        <v>185</v>
      </c>
      <c r="L133" s="224">
        <v>320</v>
      </c>
      <c r="M133" s="10">
        <f t="shared" si="6"/>
        <v>11.84</v>
      </c>
    </row>
    <row r="134" spans="6:13" x14ac:dyDescent="0.25">
      <c r="F134" s="224">
        <v>132</v>
      </c>
      <c r="G134" s="224" t="s">
        <v>462</v>
      </c>
      <c r="H134" s="224" t="s">
        <v>404</v>
      </c>
      <c r="I134" s="224">
        <v>43</v>
      </c>
      <c r="J134" s="224">
        <v>1</v>
      </c>
      <c r="K134" s="224">
        <v>65</v>
      </c>
      <c r="L134" s="224">
        <v>320</v>
      </c>
      <c r="M134" s="10">
        <f t="shared" si="6"/>
        <v>2.08</v>
      </c>
    </row>
    <row r="135" spans="6:13" x14ac:dyDescent="0.25">
      <c r="F135" s="224">
        <v>133</v>
      </c>
      <c r="G135" s="224" t="s">
        <v>463</v>
      </c>
      <c r="H135" s="224" t="s">
        <v>404</v>
      </c>
      <c r="I135" s="224">
        <v>43</v>
      </c>
      <c r="J135" s="224">
        <v>3</v>
      </c>
      <c r="K135" s="224">
        <v>182</v>
      </c>
      <c r="L135" s="224">
        <v>320</v>
      </c>
      <c r="M135" s="10">
        <f t="shared" si="6"/>
        <v>17.472000000000001</v>
      </c>
    </row>
    <row r="136" spans="6:13" x14ac:dyDescent="0.25">
      <c r="F136" s="224">
        <v>134</v>
      </c>
      <c r="G136" s="224" t="s">
        <v>463</v>
      </c>
      <c r="H136" s="224" t="s">
        <v>404</v>
      </c>
      <c r="I136" s="224">
        <v>43</v>
      </c>
      <c r="J136" s="224">
        <v>1</v>
      </c>
      <c r="K136" s="224">
        <v>188</v>
      </c>
      <c r="L136" s="224">
        <v>320</v>
      </c>
      <c r="M136" s="10">
        <f t="shared" si="6"/>
        <v>6.016</v>
      </c>
    </row>
    <row r="137" spans="6:13" x14ac:dyDescent="0.25">
      <c r="F137" s="224">
        <v>135</v>
      </c>
      <c r="G137" s="224" t="s">
        <v>464</v>
      </c>
      <c r="H137" s="224" t="s">
        <v>404</v>
      </c>
      <c r="I137" s="224">
        <v>43</v>
      </c>
      <c r="J137" s="224">
        <v>2</v>
      </c>
      <c r="K137" s="224">
        <v>173</v>
      </c>
      <c r="L137" s="224">
        <v>320</v>
      </c>
      <c r="M137" s="10">
        <f t="shared" si="6"/>
        <v>11.071999999999999</v>
      </c>
    </row>
    <row r="138" spans="6:13" x14ac:dyDescent="0.25">
      <c r="F138" s="224">
        <v>136</v>
      </c>
      <c r="G138" s="226" t="s">
        <v>465</v>
      </c>
      <c r="H138" s="224" t="s">
        <v>404</v>
      </c>
      <c r="I138" s="224">
        <v>43</v>
      </c>
      <c r="J138" s="224">
        <v>2</v>
      </c>
      <c r="K138" s="224">
        <v>186</v>
      </c>
      <c r="L138" s="224">
        <v>268</v>
      </c>
      <c r="M138" s="10">
        <f t="shared" si="6"/>
        <v>9.9695999999999998</v>
      </c>
    </row>
    <row r="139" spans="6:13" x14ac:dyDescent="0.25">
      <c r="F139" s="224">
        <v>137</v>
      </c>
      <c r="G139" s="226" t="s">
        <v>465</v>
      </c>
      <c r="H139" s="224" t="s">
        <v>404</v>
      </c>
      <c r="I139" s="224">
        <v>43</v>
      </c>
      <c r="J139" s="224">
        <v>2</v>
      </c>
      <c r="K139" s="224">
        <v>178</v>
      </c>
      <c r="L139" s="224">
        <v>268</v>
      </c>
      <c r="M139" s="10">
        <f t="shared" si="6"/>
        <v>9.5408000000000008</v>
      </c>
    </row>
    <row r="140" spans="6:13" x14ac:dyDescent="0.25">
      <c r="F140" s="224">
        <v>138</v>
      </c>
      <c r="G140" s="226" t="s">
        <v>465</v>
      </c>
      <c r="H140" s="224" t="s">
        <v>404</v>
      </c>
      <c r="I140" s="224">
        <v>43</v>
      </c>
      <c r="J140" s="224">
        <v>1</v>
      </c>
      <c r="K140" s="224">
        <v>90</v>
      </c>
      <c r="L140" s="224">
        <v>180</v>
      </c>
      <c r="M140" s="10">
        <f t="shared" si="6"/>
        <v>1.62</v>
      </c>
    </row>
    <row r="141" spans="6:13" x14ac:dyDescent="0.25">
      <c r="F141" s="1177" t="s">
        <v>46</v>
      </c>
      <c r="G141" s="1178"/>
      <c r="H141" s="1178"/>
      <c r="I141" s="227"/>
      <c r="J141" s="227">
        <f>SUM(J3:J140)</f>
        <v>224</v>
      </c>
      <c r="K141" s="227"/>
      <c r="L141" s="227"/>
      <c r="M141" s="14">
        <f>SUM(M3:M140)</f>
        <v>1102.1714000000002</v>
      </c>
    </row>
    <row r="146" spans="1:16" ht="14.4" x14ac:dyDescent="0.25">
      <c r="F146" s="229"/>
      <c r="G146" s="230" t="s">
        <v>469</v>
      </c>
      <c r="H146" s="230" t="s">
        <v>470</v>
      </c>
      <c r="I146" s="229"/>
      <c r="J146" s="230" t="s">
        <v>471</v>
      </c>
      <c r="K146" s="232" t="s">
        <v>472</v>
      </c>
      <c r="L146" s="229"/>
      <c r="M146" s="229"/>
      <c r="N146" s="229"/>
      <c r="O146" s="231"/>
      <c r="P146" s="231"/>
    </row>
    <row r="147" spans="1:16" x14ac:dyDescent="0.25">
      <c r="F147" s="229">
        <v>2</v>
      </c>
      <c r="G147" s="229" t="s">
        <v>473</v>
      </c>
      <c r="H147" s="229" t="s">
        <v>474</v>
      </c>
      <c r="I147" s="229"/>
      <c r="J147" s="229" t="s">
        <v>475</v>
      </c>
      <c r="K147" s="229" t="s">
        <v>476</v>
      </c>
      <c r="L147" s="229"/>
      <c r="M147" s="229"/>
      <c r="N147" s="229"/>
      <c r="O147" s="229"/>
      <c r="P147" s="229"/>
    </row>
    <row r="148" spans="1:16" x14ac:dyDescent="0.25">
      <c r="F148" s="229">
        <v>2</v>
      </c>
      <c r="G148" s="229" t="s">
        <v>473</v>
      </c>
      <c r="H148" s="229" t="s">
        <v>477</v>
      </c>
      <c r="I148" s="229"/>
      <c r="J148" s="229" t="s">
        <v>478</v>
      </c>
      <c r="K148" s="229" t="s">
        <v>479</v>
      </c>
      <c r="L148" s="229"/>
      <c r="M148" s="229"/>
      <c r="N148" s="229"/>
      <c r="O148" s="229"/>
      <c r="P148" s="229"/>
    </row>
    <row r="149" spans="1:16" x14ac:dyDescent="0.25">
      <c r="F149" s="229">
        <v>1</v>
      </c>
      <c r="G149" s="229" t="s">
        <v>480</v>
      </c>
      <c r="H149" s="229" t="s">
        <v>480</v>
      </c>
      <c r="I149" s="229"/>
      <c r="J149" s="229" t="s">
        <v>480</v>
      </c>
      <c r="K149" s="229" t="s">
        <v>481</v>
      </c>
      <c r="L149" s="229"/>
      <c r="M149" s="229"/>
      <c r="N149" s="229"/>
      <c r="O149" s="229"/>
      <c r="P149" s="229"/>
    </row>
    <row r="150" spans="1:16" x14ac:dyDescent="0.25">
      <c r="F150" s="229">
        <v>2</v>
      </c>
      <c r="G150" s="229" t="s">
        <v>480</v>
      </c>
      <c r="H150" s="229" t="s">
        <v>480</v>
      </c>
      <c r="I150" s="229"/>
      <c r="J150" s="229" t="s">
        <v>480</v>
      </c>
      <c r="K150" s="229" t="s">
        <v>482</v>
      </c>
      <c r="L150" s="229"/>
      <c r="M150" s="229"/>
      <c r="N150" s="229"/>
      <c r="O150" s="229"/>
      <c r="P150" s="229"/>
    </row>
    <row r="151" spans="1:16" x14ac:dyDescent="0.25">
      <c r="F151" s="229">
        <v>1</v>
      </c>
      <c r="G151" s="229" t="s">
        <v>480</v>
      </c>
      <c r="H151" s="229" t="s">
        <v>480</v>
      </c>
      <c r="I151" s="229"/>
      <c r="J151" s="229" t="s">
        <v>480</v>
      </c>
      <c r="K151" s="229" t="s">
        <v>483</v>
      </c>
      <c r="L151" s="229"/>
      <c r="M151" s="229"/>
      <c r="N151" s="229"/>
      <c r="O151" s="229"/>
      <c r="P151" s="229"/>
    </row>
    <row r="155" spans="1:16" ht="52.8" x14ac:dyDescent="0.25">
      <c r="B155" s="101" t="s">
        <v>492</v>
      </c>
      <c r="C155" s="235" t="str">
        <f>Empresas!$A$93</f>
        <v>ANDALUZA DE PAPELERIA (OFIPAPEL)</v>
      </c>
      <c r="D155" s="235" t="str">
        <f>Empresas!$A$94</f>
        <v>CECILIO MÁRQUEZ</v>
      </c>
      <c r="E155" s="235" t="str">
        <f>Empresas!$A$95</f>
        <v>EL CORTE INGLÉS</v>
      </c>
      <c r="F155" s="235" t="str">
        <f>Empresas!$A$96</f>
        <v>GRUPO KAT</v>
      </c>
      <c r="G155" s="235" t="str">
        <f>Empresas!$A$97</f>
        <v>LABELLA S.L</v>
      </c>
      <c r="H155" s="235" t="str">
        <f>Empresas!$A$98</f>
        <v>MUEBLES TINAS</v>
      </c>
      <c r="I155" s="235" t="str">
        <f>Empresas!$A$98</f>
        <v>MUEBLES TINAS</v>
      </c>
      <c r="J155" s="235" t="str">
        <f>Empresas!$A$99</f>
        <v>OFINET</v>
      </c>
      <c r="K155" s="235" t="str">
        <f>Empresas!$A$100</f>
        <v>PAPELERÍA COLÓN</v>
      </c>
      <c r="L155" s="235" t="str">
        <f>Empresas!$A$101</f>
        <v>TEXTIL HOGAR</v>
      </c>
    </row>
    <row r="156" spans="1:16" ht="15.6" x14ac:dyDescent="0.25">
      <c r="A156" s="101" t="s">
        <v>493</v>
      </c>
      <c r="B156" s="234">
        <f>D90</f>
        <v>1071.1380000000004</v>
      </c>
      <c r="D156" s="200">
        <v>1070</v>
      </c>
      <c r="G156" s="14">
        <f>SUM(M25:M140,M3:M15)</f>
        <v>1086.5154000000007</v>
      </c>
    </row>
    <row r="157" spans="1:16" ht="15.6" x14ac:dyDescent="0.25">
      <c r="A157" s="101" t="s">
        <v>494</v>
      </c>
      <c r="D157" s="200">
        <v>18</v>
      </c>
      <c r="G157" s="14">
        <f>SUM(M16:M24)</f>
        <v>15.655999999999999</v>
      </c>
    </row>
  </sheetData>
  <mergeCells count="2">
    <mergeCell ref="F141:H141"/>
    <mergeCell ref="F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SheetLayoutView="100" workbookViewId="0">
      <selection activeCell="A2" sqref="A2"/>
    </sheetView>
  </sheetViews>
  <sheetFormatPr baseColWidth="10" defaultRowHeight="13.2" x14ac:dyDescent="0.25"/>
  <cols>
    <col min="1" max="1" width="7.6640625" customWidth="1"/>
    <col min="2" max="2" width="63.33203125" customWidth="1"/>
    <col min="3" max="3" width="11.5546875" customWidth="1"/>
    <col min="4" max="4" width="13.109375" customWidth="1"/>
    <col min="5" max="5" width="13.44140625" customWidth="1"/>
    <col min="6" max="6" width="14.44140625" customWidth="1"/>
    <col min="7" max="7" width="11.44140625" customWidth="1"/>
    <col min="10" max="10" width="12.44140625" customWidth="1"/>
  </cols>
  <sheetData>
    <row r="1" spans="1:12" x14ac:dyDescent="0.25">
      <c r="A1" s="16" t="str">
        <f>Empresas!A1</f>
        <v>EXPEDIENTE Nº 495/11</v>
      </c>
      <c r="B1" s="16"/>
      <c r="C1" s="16"/>
      <c r="D1" s="16"/>
      <c r="E1" s="16"/>
      <c r="F1" s="16"/>
    </row>
    <row r="2" spans="1:12" ht="13.8" thickBot="1" x14ac:dyDescent="0.3">
      <c r="A2" s="30" t="s">
        <v>236</v>
      </c>
      <c r="B2" s="17"/>
      <c r="C2" s="17"/>
      <c r="E2" s="16"/>
      <c r="F2" s="16"/>
      <c r="G2" s="16"/>
    </row>
    <row r="3" spans="1:12" s="12" customFormat="1" x14ac:dyDescent="0.25">
      <c r="A3" s="2"/>
      <c r="B3" s="2"/>
      <c r="C3" s="2"/>
      <c r="D3" s="2"/>
      <c r="E3" s="16"/>
      <c r="F3" s="16"/>
    </row>
    <row r="4" spans="1:12" ht="13.8" x14ac:dyDescent="0.25">
      <c r="A4" s="78"/>
      <c r="B4" s="79"/>
      <c r="C4" s="79"/>
      <c r="D4" s="79"/>
      <c r="E4" s="15"/>
      <c r="F4" s="15"/>
      <c r="G4" s="15"/>
    </row>
    <row r="5" spans="1:12" ht="14.25" customHeight="1" x14ac:dyDescent="0.25">
      <c r="A5" s="3" t="str">
        <f>Empresas!A12</f>
        <v>LOTE 1: BUTACAS SALON DE ACTOS</v>
      </c>
      <c r="B5" s="3"/>
      <c r="C5" s="80"/>
      <c r="D5" s="4"/>
      <c r="E5" s="441">
        <f>E8</f>
        <v>231783.05084745763</v>
      </c>
      <c r="F5" s="6" t="s">
        <v>1</v>
      </c>
      <c r="G5">
        <v>45</v>
      </c>
    </row>
    <row r="6" spans="1:12" ht="14.25" customHeight="1" x14ac:dyDescent="0.25">
      <c r="A6" s="3"/>
      <c r="B6" s="3"/>
      <c r="C6" s="3"/>
      <c r="D6" s="4"/>
      <c r="E6" s="6"/>
      <c r="F6" s="1"/>
    </row>
    <row r="7" spans="1:12" ht="39.6" x14ac:dyDescent="0.25">
      <c r="A7" s="145" t="s">
        <v>5</v>
      </c>
      <c r="B7" s="145" t="s">
        <v>6</v>
      </c>
      <c r="C7" s="145" t="s">
        <v>7</v>
      </c>
      <c r="D7" s="146" t="s">
        <v>54</v>
      </c>
      <c r="E7" s="18" t="s">
        <v>111</v>
      </c>
      <c r="F7" s="22" t="s">
        <v>4</v>
      </c>
    </row>
    <row r="8" spans="1:12" x14ac:dyDescent="0.25">
      <c r="A8" s="147" t="s">
        <v>244</v>
      </c>
      <c r="B8" s="147" t="s">
        <v>245</v>
      </c>
      <c r="C8" s="147">
        <v>814</v>
      </c>
      <c r="D8" s="9">
        <f>336/1.18</f>
        <v>284.74576271186442</v>
      </c>
      <c r="E8" s="9">
        <f>C8*D8</f>
        <v>231783.05084745763</v>
      </c>
      <c r="F8" s="82">
        <f>(E8*100)/$E$12</f>
        <v>96.153846153846146</v>
      </c>
    </row>
    <row r="9" spans="1:12" x14ac:dyDescent="0.25">
      <c r="A9" s="149"/>
      <c r="B9" s="436" t="s">
        <v>354</v>
      </c>
      <c r="C9" s="436">
        <v>1</v>
      </c>
      <c r="D9" s="9">
        <f>E5/100</f>
        <v>2317.8305084745762</v>
      </c>
      <c r="E9" s="9">
        <f>C9*D9</f>
        <v>2317.8305084745762</v>
      </c>
      <c r="F9" s="82">
        <f>(E9*100)/$E$12</f>
        <v>0.96153846153846134</v>
      </c>
    </row>
    <row r="10" spans="1:12" x14ac:dyDescent="0.25">
      <c r="A10" s="149"/>
      <c r="B10" s="436" t="s">
        <v>654</v>
      </c>
      <c r="C10" s="436">
        <v>1</v>
      </c>
      <c r="D10" s="9">
        <f>E5/100</f>
        <v>2317.8305084745762</v>
      </c>
      <c r="E10" s="9">
        <f>C10*D10</f>
        <v>2317.8305084745762</v>
      </c>
      <c r="F10" s="82">
        <f>(E10*100)/$E$12</f>
        <v>0.96153846153846134</v>
      </c>
    </row>
    <row r="11" spans="1:12" x14ac:dyDescent="0.25">
      <c r="A11" s="149"/>
      <c r="B11" s="436" t="s">
        <v>355</v>
      </c>
      <c r="C11" s="436">
        <v>1</v>
      </c>
      <c r="D11" s="9">
        <f>(E5*2)/100</f>
        <v>4635.6610169491523</v>
      </c>
      <c r="E11" s="9">
        <f>C11*D11</f>
        <v>4635.6610169491523</v>
      </c>
      <c r="F11" s="82">
        <f>(E11*100)/$E$12</f>
        <v>1.9230769230769227</v>
      </c>
    </row>
    <row r="12" spans="1:12" x14ac:dyDescent="0.25">
      <c r="A12" s="149"/>
      <c r="B12" s="435"/>
      <c r="C12" s="308"/>
      <c r="D12" s="109"/>
      <c r="E12" s="150">
        <f>SUM(E8:E11)</f>
        <v>241054.37288135596</v>
      </c>
      <c r="F12" s="437">
        <f>SUM(F8:F11)</f>
        <v>100</v>
      </c>
    </row>
    <row r="13" spans="1:12" x14ac:dyDescent="0.25">
      <c r="A13" s="149"/>
      <c r="B13" s="435"/>
      <c r="C13" s="308"/>
      <c r="D13" s="109"/>
      <c r="E13" s="109"/>
      <c r="F13" s="109"/>
      <c r="G13" s="3"/>
    </row>
    <row r="14" spans="1:12" x14ac:dyDescent="0.25">
      <c r="A14" s="149"/>
      <c r="B14" s="435"/>
      <c r="C14" s="308"/>
      <c r="D14" s="109"/>
      <c r="E14" s="109"/>
      <c r="F14" s="109"/>
      <c r="G14" s="3"/>
    </row>
    <row r="15" spans="1:12" ht="12.75" customHeight="1" x14ac:dyDescent="0.25">
      <c r="A15" s="47"/>
      <c r="B15" s="47"/>
      <c r="C15" s="961" t="str">
        <f>B8</f>
        <v>BUTACA DE SALÓN DE ACTOS</v>
      </c>
      <c r="D15" s="961"/>
      <c r="E15" s="961"/>
      <c r="F15" s="961"/>
      <c r="G15" s="961"/>
      <c r="H15" s="961"/>
      <c r="I15" s="961"/>
      <c r="J15" s="961"/>
      <c r="K15" s="961"/>
      <c r="L15" s="961"/>
    </row>
    <row r="16" spans="1:12" ht="12.75" customHeight="1" x14ac:dyDescent="0.25">
      <c r="A16" s="47"/>
      <c r="B16" s="47"/>
      <c r="C16" s="960" t="s">
        <v>191</v>
      </c>
      <c r="D16" s="960"/>
      <c r="E16" s="960"/>
      <c r="F16" s="960"/>
      <c r="G16" s="960"/>
      <c r="H16" s="960"/>
      <c r="I16" s="960"/>
      <c r="J16" s="960"/>
      <c r="K16" s="960"/>
      <c r="L16" s="960"/>
    </row>
    <row r="17" spans="1:13" ht="51" customHeight="1" x14ac:dyDescent="0.25">
      <c r="A17" s="47"/>
      <c r="B17" s="962" t="s">
        <v>252</v>
      </c>
      <c r="C17" s="972" t="s">
        <v>645</v>
      </c>
      <c r="D17" s="974" t="s">
        <v>13</v>
      </c>
      <c r="E17" s="974" t="s">
        <v>19</v>
      </c>
      <c r="F17" s="968" t="s">
        <v>647</v>
      </c>
      <c r="G17" s="969"/>
      <c r="H17" s="970" t="s">
        <v>646</v>
      </c>
      <c r="I17" s="971"/>
      <c r="J17" s="967" t="s">
        <v>650</v>
      </c>
      <c r="K17" s="967"/>
      <c r="L17" s="967" t="s">
        <v>190</v>
      </c>
      <c r="M17" s="965" t="s">
        <v>20</v>
      </c>
    </row>
    <row r="18" spans="1:13" ht="26.4" x14ac:dyDescent="0.25">
      <c r="A18" s="47"/>
      <c r="B18" s="963"/>
      <c r="C18" s="973"/>
      <c r="D18" s="975"/>
      <c r="E18" s="975"/>
      <c r="F18" s="903" t="s">
        <v>648</v>
      </c>
      <c r="G18" s="903" t="s">
        <v>649</v>
      </c>
      <c r="H18" s="903" t="s">
        <v>648</v>
      </c>
      <c r="I18" s="903" t="s">
        <v>649</v>
      </c>
      <c r="J18" s="903" t="s">
        <v>651</v>
      </c>
      <c r="K18" s="903" t="s">
        <v>649</v>
      </c>
      <c r="L18" s="967"/>
      <c r="M18" s="966"/>
    </row>
    <row r="19" spans="1:13" x14ac:dyDescent="0.25">
      <c r="B19" s="440" t="str">
        <f>Empresas!A16</f>
        <v>ASCENDER, S.L.</v>
      </c>
      <c r="C19" s="897">
        <f>'Lote 1 - Items'!E$52</f>
        <v>25</v>
      </c>
      <c r="D19" s="439">
        <f t="shared" ref="D19:D25" si="0">$F$8</f>
        <v>96.153846153846146</v>
      </c>
      <c r="E19" s="897">
        <f>C19</f>
        <v>25</v>
      </c>
      <c r="F19" s="870">
        <v>3</v>
      </c>
      <c r="G19" s="440">
        <f>($F$28*$G$29)/F19</f>
        <v>0.28846153846153838</v>
      </c>
      <c r="H19" s="870">
        <v>29</v>
      </c>
      <c r="I19" s="440">
        <f>$H$28*$I$29/H19</f>
        <v>0.4326923076923076</v>
      </c>
      <c r="J19" s="870">
        <v>15</v>
      </c>
      <c r="K19" s="440">
        <f>$J$28*$K$29/J19</f>
        <v>0.57692307692307676</v>
      </c>
      <c r="L19" s="898">
        <f>E19+G19++I19+K19</f>
        <v>26.298076923076923</v>
      </c>
      <c r="M19" s="870">
        <f>RANK(L19,L$19:L$25,0)</f>
        <v>5</v>
      </c>
    </row>
    <row r="20" spans="1:13" x14ac:dyDescent="0.25">
      <c r="B20" s="440" t="str">
        <f>Empresas!A17</f>
        <v>EL CORTE INGLÉS</v>
      </c>
      <c r="C20" s="897">
        <f>'Lote 1 - Items'!G$52</f>
        <v>21</v>
      </c>
      <c r="D20" s="439">
        <f t="shared" si="0"/>
        <v>96.153846153846146</v>
      </c>
      <c r="E20" s="897">
        <f t="shared" ref="E20:E25" si="1">C20</f>
        <v>21</v>
      </c>
      <c r="F20" s="870">
        <v>5</v>
      </c>
      <c r="G20" s="440">
        <f t="shared" ref="G20:G24" si="2">($F$28*$G$29)/F20</f>
        <v>0.17307692307692304</v>
      </c>
      <c r="H20" s="870">
        <v>30</v>
      </c>
      <c r="I20" s="440">
        <f t="shared" ref="I20:I25" si="3">$H$28*$I$29/H20</f>
        <v>0.41826923076923067</v>
      </c>
      <c r="J20" s="870">
        <v>16</v>
      </c>
      <c r="K20" s="440">
        <f t="shared" ref="K20:K25" si="4">$J$28*$K$29/J20</f>
        <v>0.54086538461538447</v>
      </c>
      <c r="L20" s="898">
        <f t="shared" ref="L20:L25" si="5">E20+G20++I20+K20</f>
        <v>22.132211538461537</v>
      </c>
      <c r="M20" s="870">
        <f t="shared" ref="M20:M25" si="6">RANK(L20,L$19:L$25,0)</f>
        <v>7</v>
      </c>
    </row>
    <row r="21" spans="1:13" x14ac:dyDescent="0.25">
      <c r="B21" s="899" t="str">
        <f>Empresas!A18</f>
        <v>EURO SEATING INTERNATIONAL, S.A.</v>
      </c>
      <c r="C21" s="900">
        <f>'Lote 1 - Items'!I$52</f>
        <v>30</v>
      </c>
      <c r="D21" s="901">
        <f t="shared" si="0"/>
        <v>96.153846153846146</v>
      </c>
      <c r="E21" s="900">
        <f t="shared" si="1"/>
        <v>30</v>
      </c>
      <c r="F21" s="902">
        <v>3</v>
      </c>
      <c r="G21" s="440">
        <f t="shared" si="2"/>
        <v>0.28846153846153838</v>
      </c>
      <c r="H21" s="902">
        <v>30</v>
      </c>
      <c r="I21" s="440">
        <f t="shared" si="3"/>
        <v>0.41826923076923067</v>
      </c>
      <c r="J21" s="902">
        <v>10</v>
      </c>
      <c r="K21" s="440">
        <f t="shared" si="4"/>
        <v>0.8653846153846152</v>
      </c>
      <c r="L21" s="898">
        <f t="shared" si="5"/>
        <v>31.572115384615387</v>
      </c>
      <c r="M21" s="870">
        <f t="shared" si="6"/>
        <v>3</v>
      </c>
    </row>
    <row r="22" spans="1:13" x14ac:dyDescent="0.25">
      <c r="B22" s="899" t="str">
        <f>Empresas!A19</f>
        <v>EZCARAY</v>
      </c>
      <c r="C22" s="900">
        <f>'Lote 1 - Items'!K$52</f>
        <v>36</v>
      </c>
      <c r="D22" s="901">
        <f t="shared" si="0"/>
        <v>96.153846153846146</v>
      </c>
      <c r="E22" s="900">
        <f t="shared" si="1"/>
        <v>36</v>
      </c>
      <c r="F22" s="902">
        <v>14</v>
      </c>
      <c r="G22" s="440">
        <f t="shared" si="2"/>
        <v>6.1813186813186802E-2</v>
      </c>
      <c r="H22" s="902">
        <v>40</v>
      </c>
      <c r="I22" s="440">
        <f t="shared" si="3"/>
        <v>0.31370192307692302</v>
      </c>
      <c r="J22" s="902">
        <v>10</v>
      </c>
      <c r="K22" s="440">
        <f t="shared" si="4"/>
        <v>0.8653846153846152</v>
      </c>
      <c r="L22" s="898">
        <f t="shared" si="5"/>
        <v>37.240899725274723</v>
      </c>
      <c r="M22" s="870">
        <f t="shared" si="6"/>
        <v>1</v>
      </c>
    </row>
    <row r="23" spans="1:13" x14ac:dyDescent="0.25">
      <c r="B23" s="899" t="str">
        <f>Empresas!A20</f>
        <v>FIGUERAS INTERNATIONAL SEATING</v>
      </c>
      <c r="C23" s="900">
        <f>'Lote 1 - Items'!M$52</f>
        <v>31</v>
      </c>
      <c r="D23" s="901">
        <f t="shared" si="0"/>
        <v>96.153846153846146</v>
      </c>
      <c r="E23" s="900">
        <f t="shared" si="1"/>
        <v>31</v>
      </c>
      <c r="F23" s="902">
        <v>2</v>
      </c>
      <c r="G23" s="440">
        <f t="shared" si="2"/>
        <v>0.4326923076923076</v>
      </c>
      <c r="H23" s="902">
        <v>45</v>
      </c>
      <c r="I23" s="440">
        <f t="shared" si="3"/>
        <v>0.2788461538461538</v>
      </c>
      <c r="J23" s="902">
        <v>24</v>
      </c>
      <c r="K23" s="440">
        <f t="shared" si="4"/>
        <v>0.36057692307692296</v>
      </c>
      <c r="L23" s="898">
        <f t="shared" si="5"/>
        <v>32.07211538461538</v>
      </c>
      <c r="M23" s="870">
        <f t="shared" si="6"/>
        <v>2</v>
      </c>
    </row>
    <row r="24" spans="1:13" x14ac:dyDescent="0.25">
      <c r="B24" s="440" t="str">
        <f>Empresas!A21</f>
        <v>MELCO</v>
      </c>
      <c r="C24" s="897">
        <f>'Lote 1 - Items'!O$52</f>
        <v>22</v>
      </c>
      <c r="D24" s="439">
        <f t="shared" si="0"/>
        <v>96.153846153846146</v>
      </c>
      <c r="E24" s="897">
        <f t="shared" si="1"/>
        <v>22</v>
      </c>
      <c r="F24" s="870">
        <v>10</v>
      </c>
      <c r="G24" s="440">
        <f t="shared" si="2"/>
        <v>8.6538461538461522E-2</v>
      </c>
      <c r="H24" s="870">
        <v>35</v>
      </c>
      <c r="I24" s="440">
        <f t="shared" si="3"/>
        <v>0.35851648351648341</v>
      </c>
      <c r="J24" s="870">
        <v>24</v>
      </c>
      <c r="K24" s="440">
        <f t="shared" si="4"/>
        <v>0.36057692307692296</v>
      </c>
      <c r="L24" s="898">
        <f t="shared" si="5"/>
        <v>22.805631868131865</v>
      </c>
      <c r="M24" s="870">
        <f t="shared" si="6"/>
        <v>6</v>
      </c>
    </row>
    <row r="25" spans="1:13" x14ac:dyDescent="0.25">
      <c r="B25" s="899" t="str">
        <f>Empresas!A22</f>
        <v>MOGAR</v>
      </c>
      <c r="C25" s="900">
        <f>'Lote 1 - Items'!Q$52</f>
        <v>30</v>
      </c>
      <c r="D25" s="901">
        <f t="shared" si="0"/>
        <v>96.153846153846146</v>
      </c>
      <c r="E25" s="900">
        <f t="shared" si="1"/>
        <v>30</v>
      </c>
      <c r="F25" s="902" t="s">
        <v>394</v>
      </c>
      <c r="G25" s="440">
        <v>0</v>
      </c>
      <c r="H25" s="902">
        <v>30</v>
      </c>
      <c r="I25" s="440">
        <f t="shared" si="3"/>
        <v>0.41826923076923067</v>
      </c>
      <c r="J25" s="902">
        <v>48</v>
      </c>
      <c r="K25" s="440">
        <f t="shared" si="4"/>
        <v>0.18028846153846148</v>
      </c>
      <c r="L25" s="438">
        <f t="shared" si="5"/>
        <v>30.59855769230769</v>
      </c>
      <c r="M25" s="870">
        <f t="shared" si="6"/>
        <v>4</v>
      </c>
    </row>
    <row r="26" spans="1:13" hidden="1" x14ac:dyDescent="0.25">
      <c r="B26" s="131"/>
      <c r="C26" s="964" t="s">
        <v>652</v>
      </c>
      <c r="D26" s="964"/>
      <c r="E26" s="964"/>
      <c r="F26" s="330">
        <f>MIN(F19:F25)</f>
        <v>2</v>
      </c>
      <c r="H26" s="330">
        <f t="shared" ref="H26:J26" si="7">MIN(H19:H25)</f>
        <v>29</v>
      </c>
      <c r="J26" s="330">
        <f t="shared" si="7"/>
        <v>10</v>
      </c>
    </row>
    <row r="27" spans="1:13" hidden="1" x14ac:dyDescent="0.25">
      <c r="C27" s="964" t="s">
        <v>653</v>
      </c>
      <c r="D27" s="964"/>
      <c r="E27" s="964"/>
      <c r="F27" s="330">
        <f>MAX(F19:F25)</f>
        <v>14</v>
      </c>
      <c r="H27" s="330">
        <f t="shared" ref="H27:J27" si="8">MAX(H19:H25)</f>
        <v>45</v>
      </c>
      <c r="J27" s="330">
        <f t="shared" si="8"/>
        <v>48</v>
      </c>
    </row>
    <row r="28" spans="1:13" x14ac:dyDescent="0.25">
      <c r="B28" s="928" t="s">
        <v>1128</v>
      </c>
      <c r="C28" s="929"/>
      <c r="D28" s="929"/>
      <c r="E28" s="930"/>
      <c r="F28" s="931">
        <f>MIN(F19:F25)</f>
        <v>2</v>
      </c>
      <c r="G28" s="929"/>
      <c r="H28" s="931">
        <f>MIN(H19:H25)</f>
        <v>29</v>
      </c>
      <c r="I28" s="929"/>
      <c r="J28" s="931">
        <f>MIN(J19:J25)</f>
        <v>10</v>
      </c>
    </row>
    <row r="29" spans="1:13" x14ac:dyDescent="0.25">
      <c r="B29" s="94" t="s">
        <v>1127</v>
      </c>
      <c r="C29" s="456"/>
      <c r="D29" s="926"/>
      <c r="E29" s="926"/>
      <c r="F29" s="926"/>
      <c r="G29" s="926">
        <f>F9*G5/100</f>
        <v>0.4326923076923076</v>
      </c>
      <c r="H29" s="926"/>
      <c r="I29" s="926">
        <f>F10*G5/100</f>
        <v>0.4326923076923076</v>
      </c>
      <c r="J29" s="926"/>
      <c r="K29" s="927">
        <f>F11*G5/100</f>
        <v>0.8653846153846152</v>
      </c>
    </row>
  </sheetData>
  <mergeCells count="13">
    <mergeCell ref="C27:E27"/>
    <mergeCell ref="F17:G17"/>
    <mergeCell ref="H17:I17"/>
    <mergeCell ref="J17:K17"/>
    <mergeCell ref="C17:C18"/>
    <mergeCell ref="D17:D18"/>
    <mergeCell ref="E17:E18"/>
    <mergeCell ref="C16:L16"/>
    <mergeCell ref="C15:L15"/>
    <mergeCell ref="B17:B18"/>
    <mergeCell ref="C26:E26"/>
    <mergeCell ref="M17:M18"/>
    <mergeCell ref="L17:L18"/>
  </mergeCells>
  <phoneticPr fontId="0" type="noConversion"/>
  <conditionalFormatting sqref="L19:L25">
    <cfRule type="cellIs" dxfId="19" priority="3" operator="greaterThan">
      <formula>30</formula>
    </cfRule>
  </conditionalFormatting>
  <conditionalFormatting sqref="M19:M25">
    <cfRule type="cellIs" dxfId="18" priority="2" operator="equal">
      <formula>1</formula>
    </cfRule>
  </conditionalFormatting>
  <conditionalFormatting sqref="M22">
    <cfRule type="cellIs" dxfId="17" priority="1" operator="equal">
      <formula>1</formula>
    </cfRule>
  </conditionalFormatting>
  <pageMargins left="0.74803149606299213" right="0.35433070866141736" top="0.31496062992125984" bottom="0.31496062992125984" header="0" footer="0"/>
  <pageSetup paperSize="9" scale="56" fitToHeight="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zoomScale="115" zoomScaleNormal="115" workbookViewId="0">
      <selection activeCell="A80" sqref="A80:A81"/>
    </sheetView>
  </sheetViews>
  <sheetFormatPr baseColWidth="10" defaultRowHeight="13.2" x14ac:dyDescent="0.25"/>
  <cols>
    <col min="1" max="1" width="53.109375" bestFit="1" customWidth="1"/>
    <col min="2" max="3" width="21" customWidth="1"/>
    <col min="4" max="4" width="14.88671875" bestFit="1" customWidth="1"/>
    <col min="5" max="5" width="17" bestFit="1" customWidth="1"/>
  </cols>
  <sheetData>
    <row r="1" spans="1:5" x14ac:dyDescent="0.25">
      <c r="A1" t="str">
        <f>Empresas!A12</f>
        <v>LOTE 1: BUTACAS SALON DE ACTOS</v>
      </c>
    </row>
    <row r="2" spans="1:5" x14ac:dyDescent="0.25">
      <c r="A2">
        <f>Empresas!A13</f>
        <v>0</v>
      </c>
      <c r="B2" s="1179" t="s">
        <v>1129</v>
      </c>
      <c r="C2" s="1179"/>
      <c r="D2" s="1179" t="s">
        <v>1130</v>
      </c>
      <c r="E2" s="1179"/>
    </row>
    <row r="3" spans="1:5" x14ac:dyDescent="0.25">
      <c r="A3" t="str">
        <f>Empresas!A14</f>
        <v>Empresa</v>
      </c>
      <c r="B3" s="1180" t="s">
        <v>19</v>
      </c>
      <c r="C3" s="1180" t="s">
        <v>20</v>
      </c>
      <c r="D3" s="1180" t="s">
        <v>19</v>
      </c>
      <c r="E3" s="1180" t="s">
        <v>20</v>
      </c>
    </row>
    <row r="4" spans="1:5" x14ac:dyDescent="0.25">
      <c r="A4">
        <f>Empresas!A15</f>
        <v>0</v>
      </c>
      <c r="B4" s="1181"/>
      <c r="C4" s="1181"/>
      <c r="D4" s="1181"/>
      <c r="E4" s="1181"/>
    </row>
    <row r="5" spans="1:5" x14ac:dyDescent="0.25">
      <c r="A5" s="13" t="str">
        <f>Empresas!A16</f>
        <v>ASCENDER, S.L.</v>
      </c>
      <c r="B5" s="128">
        <f>[1]Empresas!$H16</f>
        <v>27.884615384615383</v>
      </c>
      <c r="C5" s="936">
        <f>[1]Empresas!$I16</f>
        <v>5</v>
      </c>
      <c r="D5" s="329">
        <f>Empresas!H16</f>
        <v>26.298076923076923</v>
      </c>
      <c r="E5" s="330">
        <f>Empresas!I16</f>
        <v>5</v>
      </c>
    </row>
    <row r="6" spans="1:5" x14ac:dyDescent="0.25">
      <c r="A6" s="13" t="str">
        <f>Empresas!A17</f>
        <v>EL CORTE INGLÉS</v>
      </c>
      <c r="B6" s="128">
        <f>[1]Empresas!$H17</f>
        <v>23.516025641025639</v>
      </c>
      <c r="C6" s="936">
        <f>[1]Empresas!$I17</f>
        <v>7</v>
      </c>
      <c r="D6" s="329">
        <f>Empresas!H17</f>
        <v>22.132211538461537</v>
      </c>
      <c r="E6" s="330">
        <f>Empresas!I17</f>
        <v>7</v>
      </c>
    </row>
    <row r="7" spans="1:5" x14ac:dyDescent="0.25">
      <c r="A7" s="13" t="str">
        <f>Empresas!A18</f>
        <v>EURO SEATING INTERNATIONAL, S.A.</v>
      </c>
      <c r="B7" s="128">
        <f>[1]Empresas!$H18</f>
        <v>84.99924449271829</v>
      </c>
      <c r="C7" s="936">
        <f>[1]Empresas!$I18</f>
        <v>2</v>
      </c>
      <c r="D7" s="329">
        <f>Empresas!H18</f>
        <v>83.07777013374394</v>
      </c>
      <c r="E7" s="330">
        <f>Empresas!I18</f>
        <v>2</v>
      </c>
    </row>
    <row r="8" spans="1:5" x14ac:dyDescent="0.25">
      <c r="A8" s="13" t="str">
        <f>Empresas!A19</f>
        <v>EZCARAY</v>
      </c>
      <c r="B8" s="128">
        <f>[1]Empresas!$H19</f>
        <v>93.757554945054949</v>
      </c>
      <c r="C8" s="939">
        <f>[1]Empresas!$I19</f>
        <v>1</v>
      </c>
      <c r="D8" s="329">
        <f>Empresas!H19</f>
        <v>92.240899725274716</v>
      </c>
      <c r="E8" s="900">
        <f>Empresas!I19</f>
        <v>1</v>
      </c>
    </row>
    <row r="9" spans="1:5" x14ac:dyDescent="0.25">
      <c r="A9" s="13" t="str">
        <f>Empresas!A20</f>
        <v>FIGUERAS INTERNATIONAL SEATING</v>
      </c>
      <c r="B9" s="128">
        <f>[1]Empresas!$H20</f>
        <v>74.527703525972782</v>
      </c>
      <c r="C9" s="936">
        <f>[1]Empresas!$I20</f>
        <v>4</v>
      </c>
      <c r="D9" s="329">
        <f>Empresas!H20</f>
        <v>73.217340278109532</v>
      </c>
      <c r="E9" s="330">
        <f>Empresas!I20</f>
        <v>4</v>
      </c>
    </row>
    <row r="10" spans="1:5" x14ac:dyDescent="0.25">
      <c r="A10" s="13" t="str">
        <f>Empresas!A21</f>
        <v>MELCO</v>
      </c>
      <c r="B10" s="128">
        <f>[1]Empresas!$H21</f>
        <v>23.79029304029304</v>
      </c>
      <c r="C10" s="936">
        <f>[1]Empresas!$I21</f>
        <v>6</v>
      </c>
      <c r="D10" s="329">
        <f>Empresas!H21</f>
        <v>22.805631868131865</v>
      </c>
      <c r="E10" s="330">
        <f>Empresas!I21</f>
        <v>6</v>
      </c>
    </row>
    <row r="11" spans="1:5" x14ac:dyDescent="0.25">
      <c r="A11" s="13" t="str">
        <f>Empresas!A22</f>
        <v>MOGAR</v>
      </c>
      <c r="B11" s="128">
        <f>[1]Empresas!$H22</f>
        <v>76.057806738998565</v>
      </c>
      <c r="C11" s="936">
        <f>[1]Empresas!$I22</f>
        <v>3</v>
      </c>
      <c r="D11" s="329">
        <f>Empresas!H22</f>
        <v>75.326236226178054</v>
      </c>
      <c r="E11" s="330">
        <f>Empresas!I22</f>
        <v>3</v>
      </c>
    </row>
    <row r="15" spans="1:5" x14ac:dyDescent="0.25">
      <c r="A15" t="str">
        <f>Empresas!A26</f>
        <v>LOTE 2: SILLERÍA</v>
      </c>
      <c r="B15" s="932"/>
      <c r="D15" s="131"/>
      <c r="E15" s="131"/>
    </row>
    <row r="16" spans="1:5" x14ac:dyDescent="0.25">
      <c r="B16" s="1179" t="s">
        <v>1129</v>
      </c>
      <c r="C16" s="1179"/>
      <c r="D16" s="1179" t="s">
        <v>1130</v>
      </c>
      <c r="E16" s="1179"/>
    </row>
    <row r="17" spans="1:5" x14ac:dyDescent="0.25">
      <c r="A17" s="1182" t="str">
        <f>Empresas!A28</f>
        <v>Empresa</v>
      </c>
      <c r="B17" s="1180" t="s">
        <v>19</v>
      </c>
      <c r="C17" s="1180" t="s">
        <v>20</v>
      </c>
      <c r="D17" s="1180" t="s">
        <v>19</v>
      </c>
      <c r="E17" s="1180" t="s">
        <v>20</v>
      </c>
    </row>
    <row r="18" spans="1:5" x14ac:dyDescent="0.25">
      <c r="A18" s="1183">
        <f>Empresas!A29</f>
        <v>0</v>
      </c>
      <c r="B18" s="1181"/>
      <c r="C18" s="1181"/>
      <c r="D18" s="1181"/>
      <c r="E18" s="1181"/>
    </row>
    <row r="19" spans="1:5" hidden="1" x14ac:dyDescent="0.25">
      <c r="A19" t="str">
        <f>Empresas!A30</f>
        <v>ALECOP S. COOP.</v>
      </c>
    </row>
    <row r="20" spans="1:5" hidden="1" x14ac:dyDescent="0.25">
      <c r="A20" t="str">
        <f>Empresas!A31</f>
        <v>ANDALUZA DE PAPELERIA (OFIPAPEL)</v>
      </c>
    </row>
    <row r="21" spans="1:5" x14ac:dyDescent="0.25">
      <c r="A21" s="13" t="str">
        <f>Empresas!A32</f>
        <v>BALIPE SUMINISTROS E INSTALACIONES</v>
      </c>
      <c r="B21" s="494">
        <f>[1]Empresas!$H32</f>
        <v>26.53445157004656</v>
      </c>
      <c r="C21" s="937">
        <f>[1]Empresas!$I32</f>
        <v>7</v>
      </c>
      <c r="D21" s="329">
        <f>Empresas!H32</f>
        <v>26.81930733927733</v>
      </c>
      <c r="E21" s="330">
        <f>Empresas!I32</f>
        <v>5</v>
      </c>
    </row>
    <row r="22" spans="1:5" x14ac:dyDescent="0.25">
      <c r="A22" s="13" t="str">
        <f>Empresas!A33</f>
        <v>COMERCIAL DE INDUSTRIAS REUNIDAS</v>
      </c>
      <c r="B22" s="494">
        <f>[1]Empresas!$H33</f>
        <v>16.3679102692134</v>
      </c>
      <c r="C22" s="937">
        <f>[1]Empresas!$I33</f>
        <v>12</v>
      </c>
      <c r="D22" s="329">
        <f>Empresas!H33</f>
        <v>15.741536642839772</v>
      </c>
      <c r="E22" s="330">
        <f>Empresas!I33</f>
        <v>12</v>
      </c>
    </row>
    <row r="23" spans="1:5" x14ac:dyDescent="0.25">
      <c r="A23" s="13" t="str">
        <f>Empresas!A34</f>
        <v>EDUARDO BALLESTEROS S.L</v>
      </c>
      <c r="B23" s="494">
        <f>[1]Empresas!$H34</f>
        <v>26.790307160188195</v>
      </c>
      <c r="C23" s="937">
        <f>[1]Empresas!$I34</f>
        <v>6</v>
      </c>
      <c r="D23" s="329">
        <f>Empresas!H34</f>
        <v>26.590787929418966</v>
      </c>
      <c r="E23" s="330">
        <f>Empresas!I34</f>
        <v>6</v>
      </c>
    </row>
    <row r="24" spans="1:5" x14ac:dyDescent="0.25">
      <c r="A24" s="13" t="str">
        <f>Empresas!A35</f>
        <v>EL CORTE INGLÉS</v>
      </c>
      <c r="B24" s="494">
        <f>[1]Empresas!$H35</f>
        <v>26.515247291297477</v>
      </c>
      <c r="C24" s="937">
        <f>[1]Empresas!$I35</f>
        <v>8</v>
      </c>
      <c r="D24" s="329">
        <f>Empresas!H35</f>
        <v>25.050103060528247</v>
      </c>
      <c r="E24" s="330">
        <f>Empresas!I35</f>
        <v>8</v>
      </c>
    </row>
    <row r="25" spans="1:5" hidden="1" x14ac:dyDescent="0.25">
      <c r="A25" s="13" t="str">
        <f>Empresas!A36</f>
        <v>ESQUITINO</v>
      </c>
      <c r="B25" s="494">
        <f>[1]Empresas!$H36</f>
        <v>0</v>
      </c>
      <c r="C25" s="937">
        <f>[1]Empresas!$I36</f>
        <v>0</v>
      </c>
      <c r="D25" s="329">
        <f>Empresas!H36</f>
        <v>0</v>
      </c>
      <c r="E25" s="330">
        <f>Empresas!I36</f>
        <v>0</v>
      </c>
    </row>
    <row r="26" spans="1:5" x14ac:dyDescent="0.25">
      <c r="A26" s="13" t="str">
        <f>Empresas!A37</f>
        <v>GRUPO KAT</v>
      </c>
      <c r="B26" s="494">
        <f>[1]Empresas!$H37</f>
        <v>24.15621802141079</v>
      </c>
      <c r="C26" s="937">
        <f>[1]Empresas!$I37</f>
        <v>10</v>
      </c>
      <c r="D26" s="329">
        <f>Empresas!H37</f>
        <v>21.841829285147057</v>
      </c>
      <c r="E26" s="330">
        <f>Empresas!I37</f>
        <v>10</v>
      </c>
    </row>
    <row r="27" spans="1:5" x14ac:dyDescent="0.25">
      <c r="A27" s="13" t="str">
        <f>Empresas!A38</f>
        <v>LAUSAN</v>
      </c>
      <c r="B27" s="494">
        <f>[1]Empresas!$H38</f>
        <v>85.57027280941935</v>
      </c>
      <c r="C27" s="938">
        <f>[1]Empresas!$I38</f>
        <v>1</v>
      </c>
      <c r="D27" s="329">
        <f>Empresas!H38</f>
        <v>83.313061270957817</v>
      </c>
      <c r="E27" s="900">
        <f>Empresas!I38</f>
        <v>1</v>
      </c>
    </row>
    <row r="28" spans="1:5" x14ac:dyDescent="0.25">
      <c r="A28" s="13" t="str">
        <f>Empresas!A39</f>
        <v>MELCO</v>
      </c>
      <c r="B28" s="494">
        <f>[1]Empresas!$H39</f>
        <v>76.164039784510834</v>
      </c>
      <c r="C28" s="937">
        <f>[1]Empresas!$I39</f>
        <v>4</v>
      </c>
      <c r="D28" s="329">
        <f>Empresas!H39</f>
        <v>73.406828246049287</v>
      </c>
      <c r="E28" s="330">
        <f>Empresas!I39</f>
        <v>3</v>
      </c>
    </row>
    <row r="29" spans="1:5" x14ac:dyDescent="0.25">
      <c r="A29" s="13" t="str">
        <f>Empresas!A40</f>
        <v>MOFISER S.L</v>
      </c>
      <c r="B29" s="494">
        <f>[1]Empresas!$H40</f>
        <v>29.942563930630008</v>
      </c>
      <c r="C29" s="937">
        <f>[1]Empresas!$I40</f>
        <v>5</v>
      </c>
      <c r="D29" s="329">
        <f>Empresas!H40</f>
        <v>25.370210297412093</v>
      </c>
      <c r="E29" s="330">
        <f>Empresas!I40</f>
        <v>7</v>
      </c>
    </row>
    <row r="30" spans="1:5" hidden="1" x14ac:dyDescent="0.25">
      <c r="A30" s="13" t="str">
        <f>Empresas!A41</f>
        <v>MOGAR</v>
      </c>
      <c r="B30" s="494">
        <f>[1]Empresas!$H41</f>
        <v>0</v>
      </c>
      <c r="C30" s="937">
        <f>[1]Empresas!$I41</f>
        <v>0</v>
      </c>
      <c r="D30" s="329">
        <f>Empresas!H41</f>
        <v>0</v>
      </c>
      <c r="E30" s="330">
        <f>Empresas!I41</f>
        <v>0</v>
      </c>
    </row>
    <row r="31" spans="1:5" x14ac:dyDescent="0.25">
      <c r="A31" s="13" t="str">
        <f>Empresas!A42</f>
        <v>MUEBLES TINAS</v>
      </c>
      <c r="B31" s="494">
        <f>[1]Empresas!$H42</f>
        <v>84.563245980768215</v>
      </c>
      <c r="C31" s="937">
        <f>[1]Empresas!$I42</f>
        <v>2</v>
      </c>
      <c r="D31" s="329">
        <f>Empresas!H42</f>
        <v>81.977909442306682</v>
      </c>
      <c r="E31" s="330">
        <f>Empresas!I42</f>
        <v>2</v>
      </c>
    </row>
    <row r="32" spans="1:5" x14ac:dyDescent="0.25">
      <c r="A32" s="13" t="str">
        <f>Empresas!A43</f>
        <v>OFINET</v>
      </c>
      <c r="B32" s="494">
        <f>[1]Empresas!$H43</f>
        <v>82.037747764235021</v>
      </c>
      <c r="C32" s="937">
        <f>[1]Empresas!$I43</f>
        <v>3</v>
      </c>
      <c r="D32" s="329">
        <f>Empresas!H43</f>
        <v>28.397823040653712</v>
      </c>
      <c r="E32" s="330">
        <f>Empresas!I43</f>
        <v>4</v>
      </c>
    </row>
    <row r="33" spans="1:5" x14ac:dyDescent="0.25">
      <c r="A33" s="13" t="str">
        <f>Empresas!A44</f>
        <v>OFITA INTERIORES (JOCAFRI)</v>
      </c>
      <c r="B33" s="494">
        <f>[1]Empresas!$H44</f>
        <v>26.244576411990852</v>
      </c>
      <c r="C33" s="937">
        <f>[1]Empresas!$I44</f>
        <v>9</v>
      </c>
      <c r="D33" s="329">
        <f>Empresas!H44</f>
        <v>23.790077785617225</v>
      </c>
      <c r="E33" s="330">
        <f>Empresas!I44</f>
        <v>9</v>
      </c>
    </row>
    <row r="34" spans="1:5" hidden="1" x14ac:dyDescent="0.25">
      <c r="A34" s="13" t="str">
        <f>Empresas!A45</f>
        <v>PAPELERÍA COLÓN</v>
      </c>
      <c r="B34" s="494">
        <f>[1]Empresas!$H45</f>
        <v>0</v>
      </c>
      <c r="C34" s="937">
        <f>[1]Empresas!$I45</f>
        <v>0</v>
      </c>
      <c r="D34" s="329">
        <f>Empresas!H45</f>
        <v>0</v>
      </c>
      <c r="E34" s="330">
        <f>Empresas!I45</f>
        <v>0</v>
      </c>
    </row>
    <row r="35" spans="1:5" x14ac:dyDescent="0.25">
      <c r="A35" s="13" t="str">
        <f>Empresas!A46</f>
        <v>RUIZ COLLADO</v>
      </c>
      <c r="B35" s="494">
        <f>[1]Empresas!$H46</f>
        <v>23.921916516126583</v>
      </c>
      <c r="C35" s="937">
        <f>[1]Empresas!$I46</f>
        <v>11</v>
      </c>
      <c r="D35" s="329">
        <f>Empresas!H46</f>
        <v>19.961408274368342</v>
      </c>
      <c r="E35" s="330">
        <f>Empresas!I46</f>
        <v>11</v>
      </c>
    </row>
    <row r="36" spans="1:5" hidden="1" x14ac:dyDescent="0.25">
      <c r="A36" t="str">
        <f>Empresas!A47</f>
        <v>SERVITEC</v>
      </c>
      <c r="B36" s="494">
        <f>[1]Empresas!$H47</f>
        <v>0</v>
      </c>
      <c r="C36" s="494">
        <f>[1]Empresas!$H$32</f>
        <v>26.53445157004656</v>
      </c>
      <c r="D36" s="131">
        <f>Empresas!H47</f>
        <v>0</v>
      </c>
      <c r="E36" s="131">
        <f>Empresas!I47</f>
        <v>0</v>
      </c>
    </row>
    <row r="39" spans="1:5" x14ac:dyDescent="0.25">
      <c r="A39" t="str">
        <f>Empresas!A50</f>
        <v>LOTE 3: MOBILIARIO DE DESPACHOS</v>
      </c>
      <c r="B39" s="932"/>
      <c r="D39" s="131"/>
      <c r="E39" s="131"/>
    </row>
    <row r="40" spans="1:5" x14ac:dyDescent="0.25">
      <c r="B40" s="1179" t="s">
        <v>1129</v>
      </c>
      <c r="C40" s="1179"/>
      <c r="D40" s="1179" t="s">
        <v>1130</v>
      </c>
      <c r="E40" s="1179"/>
    </row>
    <row r="41" spans="1:5" x14ac:dyDescent="0.25">
      <c r="A41" s="1182" t="str">
        <f>Empresas!A52</f>
        <v>Empresa</v>
      </c>
      <c r="B41" s="1180" t="s">
        <v>19</v>
      </c>
      <c r="C41" s="1180" t="s">
        <v>20</v>
      </c>
      <c r="D41" s="1180" t="s">
        <v>19</v>
      </c>
      <c r="E41" s="1180" t="s">
        <v>20</v>
      </c>
    </row>
    <row r="42" spans="1:5" x14ac:dyDescent="0.25">
      <c r="A42" s="1183"/>
      <c r="B42" s="1181"/>
      <c r="C42" s="1181"/>
      <c r="D42" s="1181"/>
      <c r="E42" s="1181"/>
    </row>
    <row r="43" spans="1:5" hidden="1" x14ac:dyDescent="0.25">
      <c r="A43" t="str">
        <f>Empresas!A54</f>
        <v>COMERCIAL DE INDUSTRIAS REUNIDAS</v>
      </c>
      <c r="B43" s="342" t="e">
        <f>#REF!+#REF!+A43</f>
        <v>#REF!</v>
      </c>
      <c r="C43" s="339"/>
      <c r="D43" s="131">
        <f>Empresas!H54</f>
        <v>0</v>
      </c>
      <c r="E43" s="131">
        <f>Empresas!I54</f>
        <v>0</v>
      </c>
    </row>
    <row r="44" spans="1:5" hidden="1" x14ac:dyDescent="0.25">
      <c r="A44" t="str">
        <f>Empresas!A55</f>
        <v>GRUPO KAT</v>
      </c>
      <c r="B44" s="342" t="e">
        <f t="shared" ref="B44" si="0">#REF!+#REF!+A44</f>
        <v>#REF!</v>
      </c>
      <c r="C44" s="339"/>
      <c r="D44" s="131">
        <f>Empresas!H55</f>
        <v>0</v>
      </c>
      <c r="E44" s="131">
        <f>Empresas!I55</f>
        <v>0</v>
      </c>
    </row>
    <row r="45" spans="1:5" x14ac:dyDescent="0.25">
      <c r="A45" s="13" t="str">
        <f>Empresas!A56</f>
        <v>LAUSAN</v>
      </c>
      <c r="B45" s="129">
        <f>[1]Empresas!$H56</f>
        <v>82.816029274659726</v>
      </c>
      <c r="C45" s="933">
        <f>[1]Empresas!$I56</f>
        <v>2</v>
      </c>
      <c r="D45" s="329">
        <f>Empresas!H56</f>
        <v>82.206941038693358</v>
      </c>
      <c r="E45" s="330">
        <f>Empresas!I56</f>
        <v>2</v>
      </c>
    </row>
    <row r="46" spans="1:5" x14ac:dyDescent="0.25">
      <c r="A46" s="13" t="str">
        <f>Empresas!A57</f>
        <v>MUEBLES TINAS</v>
      </c>
      <c r="B46" s="129">
        <f>[1]Empresas!$H57</f>
        <v>28.475260898930259</v>
      </c>
      <c r="C46" s="933">
        <f>[1]Empresas!$I57</f>
        <v>3</v>
      </c>
      <c r="D46" s="329">
        <f>Empresas!H57</f>
        <v>28.505603609335427</v>
      </c>
      <c r="E46" s="330">
        <f>Empresas!I57</f>
        <v>3</v>
      </c>
    </row>
    <row r="47" spans="1:5" hidden="1" x14ac:dyDescent="0.25">
      <c r="A47" s="13" t="str">
        <f>Empresas!A58</f>
        <v>OFINET</v>
      </c>
      <c r="B47" s="129">
        <f>[1]Empresas!$H58</f>
        <v>0</v>
      </c>
      <c r="C47" s="933">
        <f>[1]Empresas!$I58</f>
        <v>0</v>
      </c>
      <c r="D47" s="329">
        <f>Empresas!H58</f>
        <v>0</v>
      </c>
      <c r="E47" s="330">
        <f>Empresas!I58</f>
        <v>0</v>
      </c>
    </row>
    <row r="48" spans="1:5" x14ac:dyDescent="0.25">
      <c r="A48" s="13" t="str">
        <f>Empresas!A59</f>
        <v>OFITA INTERIORES (JOCAFRI)</v>
      </c>
      <c r="B48" s="129">
        <f>[1]Empresas!$H59</f>
        <v>85.78493721722333</v>
      </c>
      <c r="C48" s="902">
        <f>[1]Empresas!$I59</f>
        <v>1</v>
      </c>
      <c r="D48" s="329">
        <f>Empresas!H59</f>
        <v>85.484656306128201</v>
      </c>
      <c r="E48" s="900">
        <f>Empresas!I59</f>
        <v>1</v>
      </c>
    </row>
    <row r="49" spans="1:5" hidden="1" x14ac:dyDescent="0.25">
      <c r="A49" t="str">
        <f>Empresas!A60</f>
        <v>SERVITEC</v>
      </c>
      <c r="B49" s="342" t="e">
        <f t="shared" ref="B49" si="1">#REF!+#REF!+A49</f>
        <v>#REF!</v>
      </c>
      <c r="C49" s="339"/>
      <c r="D49" s="131">
        <f>Empresas!H60</f>
        <v>0</v>
      </c>
      <c r="E49" s="131">
        <f>Empresas!I60</f>
        <v>0</v>
      </c>
    </row>
    <row r="50" spans="1:5" x14ac:dyDescent="0.25">
      <c r="D50" s="131"/>
      <c r="E50" s="131"/>
    </row>
    <row r="51" spans="1:5" x14ac:dyDescent="0.25">
      <c r="D51" s="131"/>
      <c r="E51" s="131"/>
    </row>
    <row r="52" spans="1:5" x14ac:dyDescent="0.25">
      <c r="D52" s="131"/>
      <c r="E52" s="131"/>
    </row>
    <row r="53" spans="1:5" x14ac:dyDescent="0.25">
      <c r="A53" t="str">
        <f>Empresas!A64</f>
        <v>LOTE 4: MOBILIARIO GENERAL</v>
      </c>
      <c r="B53" s="932"/>
      <c r="D53" s="131"/>
      <c r="E53" s="131"/>
    </row>
    <row r="54" spans="1:5" x14ac:dyDescent="0.25">
      <c r="B54" s="1179" t="s">
        <v>1129</v>
      </c>
      <c r="C54" s="1179"/>
      <c r="D54" s="1179" t="s">
        <v>1130</v>
      </c>
      <c r="E54" s="1179"/>
    </row>
    <row r="55" spans="1:5" x14ac:dyDescent="0.25">
      <c r="A55" s="1182" t="str">
        <f>Empresas!A66</f>
        <v>Empresa</v>
      </c>
      <c r="B55" s="1180" t="s">
        <v>19</v>
      </c>
      <c r="C55" s="1180" t="s">
        <v>20</v>
      </c>
      <c r="D55" s="1180" t="s">
        <v>19</v>
      </c>
      <c r="E55" s="1180" t="s">
        <v>20</v>
      </c>
    </row>
    <row r="56" spans="1:5" x14ac:dyDescent="0.25">
      <c r="A56" s="1183"/>
      <c r="B56" s="1181"/>
      <c r="C56" s="1181"/>
      <c r="D56" s="1181"/>
      <c r="E56" s="1181"/>
    </row>
    <row r="57" spans="1:5" x14ac:dyDescent="0.25">
      <c r="A57" s="512" t="str">
        <f>Empresas!A68</f>
        <v>COMERCIAL DE INDUSTRIAS REUNIDAS</v>
      </c>
      <c r="B57" s="130">
        <f>[1]Empresas!$H68</f>
        <v>27.678928466787269</v>
      </c>
      <c r="C57" s="933">
        <f>[1]Empresas!$I68</f>
        <v>3</v>
      </c>
      <c r="D57" s="329">
        <f>Empresas!H68</f>
        <v>28.24450225154423</v>
      </c>
      <c r="E57" s="330">
        <f>Empresas!I68</f>
        <v>3</v>
      </c>
    </row>
    <row r="58" spans="1:5" hidden="1" x14ac:dyDescent="0.25">
      <c r="A58" s="512" t="str">
        <f>Empresas!A69</f>
        <v>GRUPO KAT</v>
      </c>
      <c r="B58" s="130">
        <f>[1]Empresas!$H69</f>
        <v>0</v>
      </c>
      <c r="C58" s="933">
        <f>[1]Empresas!$I69</f>
        <v>0</v>
      </c>
      <c r="D58" s="329">
        <f>Empresas!H69</f>
        <v>0</v>
      </c>
      <c r="E58" s="330">
        <f>Empresas!I69</f>
        <v>0</v>
      </c>
    </row>
    <row r="59" spans="1:5" x14ac:dyDescent="0.25">
      <c r="A59" s="512" t="str">
        <f>Empresas!A70</f>
        <v>LAUSAN</v>
      </c>
      <c r="B59" s="130">
        <f>[1]Empresas!$H70</f>
        <v>90.622259136325738</v>
      </c>
      <c r="C59" s="902">
        <f>[1]Empresas!$I70</f>
        <v>1</v>
      </c>
      <c r="D59" s="329">
        <f>Empresas!H70</f>
        <v>89.128406639630725</v>
      </c>
      <c r="E59" s="900">
        <f>Empresas!I70</f>
        <v>1</v>
      </c>
    </row>
    <row r="60" spans="1:5" hidden="1" x14ac:dyDescent="0.25">
      <c r="A60" s="512" t="str">
        <f>Empresas!A71</f>
        <v>MELCO</v>
      </c>
      <c r="B60" s="130">
        <f>[1]Empresas!$H71</f>
        <v>0</v>
      </c>
      <c r="C60" s="933">
        <f>[1]Empresas!$I71</f>
        <v>0</v>
      </c>
      <c r="D60" s="329">
        <f>Empresas!H71</f>
        <v>0</v>
      </c>
      <c r="E60" s="330">
        <f>Empresas!I71</f>
        <v>0</v>
      </c>
    </row>
    <row r="61" spans="1:5" hidden="1" x14ac:dyDescent="0.25">
      <c r="A61" s="512" t="str">
        <f>Empresas!A72</f>
        <v>MOGAR</v>
      </c>
      <c r="B61" s="130">
        <f>[1]Empresas!$H72</f>
        <v>0</v>
      </c>
      <c r="C61" s="933">
        <f>[1]Empresas!$I72</f>
        <v>0</v>
      </c>
      <c r="D61" s="329">
        <f>Empresas!H72</f>
        <v>0</v>
      </c>
      <c r="E61" s="330">
        <f>Empresas!I72</f>
        <v>0</v>
      </c>
    </row>
    <row r="62" spans="1:5" hidden="1" x14ac:dyDescent="0.25">
      <c r="A62" s="512" t="str">
        <f>Empresas!A73</f>
        <v>OFINET</v>
      </c>
      <c r="B62" s="130">
        <f>[1]Empresas!$H73</f>
        <v>0</v>
      </c>
      <c r="C62" s="933">
        <f>[1]Empresas!$I73</f>
        <v>0</v>
      </c>
      <c r="D62" s="329">
        <f>Empresas!H73</f>
        <v>0</v>
      </c>
      <c r="E62" s="330">
        <f>Empresas!I73</f>
        <v>0</v>
      </c>
    </row>
    <row r="63" spans="1:5" x14ac:dyDescent="0.25">
      <c r="A63" s="512" t="str">
        <f>Empresas!A74</f>
        <v>SERVITEC</v>
      </c>
      <c r="B63" s="130">
        <f>[1]Empresas!$H74</f>
        <v>83.882372203157573</v>
      </c>
      <c r="C63" s="933">
        <f>[1]Empresas!$I74</f>
        <v>2</v>
      </c>
      <c r="D63" s="329">
        <f>Empresas!H74</f>
        <v>83.882372203157573</v>
      </c>
      <c r="E63" s="330">
        <f>Empresas!I74</f>
        <v>2</v>
      </c>
    </row>
    <row r="64" spans="1:5" x14ac:dyDescent="0.25">
      <c r="D64" s="131"/>
      <c r="E64" s="131"/>
    </row>
    <row r="65" spans="1:5" x14ac:dyDescent="0.25">
      <c r="D65" s="131"/>
      <c r="E65" s="131"/>
    </row>
    <row r="66" spans="1:5" x14ac:dyDescent="0.25">
      <c r="D66" s="131"/>
      <c r="E66" s="131"/>
    </row>
    <row r="67" spans="1:5" x14ac:dyDescent="0.25">
      <c r="A67" t="str">
        <f>Empresas!A78</f>
        <v>LOTE 5: MULTIMEDIA SALA REUNIONES Y SALA ESPERA</v>
      </c>
      <c r="B67" s="932"/>
      <c r="D67" s="131"/>
      <c r="E67" s="131"/>
    </row>
    <row r="68" spans="1:5" x14ac:dyDescent="0.25">
      <c r="B68" s="1179" t="s">
        <v>1129</v>
      </c>
      <c r="C68" s="1179"/>
      <c r="D68" s="1179" t="s">
        <v>1130</v>
      </c>
      <c r="E68" s="1179"/>
    </row>
    <row r="69" spans="1:5" x14ac:dyDescent="0.25">
      <c r="A69" s="1182" t="str">
        <f>Empresas!A80</f>
        <v>Empresa</v>
      </c>
      <c r="B69" s="1180" t="s">
        <v>19</v>
      </c>
      <c r="C69" s="1180" t="s">
        <v>20</v>
      </c>
      <c r="D69" s="1180" t="s">
        <v>19</v>
      </c>
      <c r="E69" s="1180" t="s">
        <v>20</v>
      </c>
    </row>
    <row r="70" spans="1:5" x14ac:dyDescent="0.25">
      <c r="A70" s="1183"/>
      <c r="B70" s="1181"/>
      <c r="C70" s="1181"/>
      <c r="D70" s="1181"/>
      <c r="E70" s="1181"/>
    </row>
    <row r="71" spans="1:5" x14ac:dyDescent="0.25">
      <c r="A71" s="13" t="str">
        <f>Empresas!A82</f>
        <v>ELPRO</v>
      </c>
      <c r="B71" s="130">
        <f>[1]Empresas!$H82</f>
        <v>81.29470856102003</v>
      </c>
      <c r="C71" s="902">
        <f>[1]Empresas!$I82</f>
        <v>1</v>
      </c>
      <c r="D71" s="329">
        <f>Empresas!H82</f>
        <v>81.38487249544626</v>
      </c>
      <c r="E71" s="900">
        <f>Empresas!I82</f>
        <v>1</v>
      </c>
    </row>
    <row r="72" spans="1:5" hidden="1" x14ac:dyDescent="0.25">
      <c r="A72" s="13" t="str">
        <f>Empresas!A83</f>
        <v>IEC</v>
      </c>
      <c r="B72" s="130">
        <f>[1]Empresas!$H83</f>
        <v>0</v>
      </c>
      <c r="C72" s="933">
        <f>[1]Empresas!$I83</f>
        <v>0</v>
      </c>
      <c r="D72" s="329">
        <f>Empresas!H83</f>
        <v>0</v>
      </c>
      <c r="E72" s="330">
        <f>Empresas!I83</f>
        <v>0</v>
      </c>
    </row>
    <row r="73" spans="1:5" x14ac:dyDescent="0.25">
      <c r="A73" s="13" t="str">
        <f>Empresas!A84</f>
        <v>UTE BGL ALMERIMATIK</v>
      </c>
      <c r="B73" s="130">
        <f>[1]Empresas!$H84</f>
        <v>79.93710796256164</v>
      </c>
      <c r="C73" s="933">
        <f>[1]Empresas!$I84</f>
        <v>2</v>
      </c>
      <c r="D73" s="329">
        <f>Empresas!H84</f>
        <v>80.617435831414113</v>
      </c>
      <c r="E73" s="330">
        <f>Empresas!I84</f>
        <v>2</v>
      </c>
    </row>
    <row r="74" spans="1:5" x14ac:dyDescent="0.25">
      <c r="A74" s="13" t="str">
        <f>Empresas!A85</f>
        <v>VITELSA</v>
      </c>
      <c r="B74" s="130">
        <f>[1]Empresas!$H85</f>
        <v>16.820231329690351</v>
      </c>
      <c r="C74" s="933">
        <f>[1]Empresas!$I85</f>
        <v>3</v>
      </c>
      <c r="D74" s="329">
        <f>Empresas!H85</f>
        <v>17.525149362477237</v>
      </c>
      <c r="E74" s="330">
        <f>Empresas!I85</f>
        <v>3</v>
      </c>
    </row>
    <row r="75" spans="1:5" x14ac:dyDescent="0.25">
      <c r="D75" s="131"/>
      <c r="E75" s="131"/>
    </row>
    <row r="76" spans="1:5" x14ac:dyDescent="0.25">
      <c r="D76" s="131"/>
      <c r="E76" s="131"/>
    </row>
    <row r="77" spans="1:5" x14ac:dyDescent="0.25">
      <c r="D77" s="131"/>
      <c r="E77" s="131"/>
    </row>
    <row r="78" spans="1:5" x14ac:dyDescent="0.25">
      <c r="A78" t="str">
        <f>Empresas!A89</f>
        <v>LOTE 6: CORTINAJE</v>
      </c>
      <c r="B78" s="932"/>
      <c r="D78" s="932"/>
      <c r="E78" s="131"/>
    </row>
    <row r="79" spans="1:5" x14ac:dyDescent="0.25">
      <c r="B79" s="1179" t="s">
        <v>1129</v>
      </c>
      <c r="C79" s="1179"/>
      <c r="D79" s="1179" t="s">
        <v>1130</v>
      </c>
      <c r="E79" s="1179"/>
    </row>
    <row r="80" spans="1:5" x14ac:dyDescent="0.25">
      <c r="A80" s="1182" t="str">
        <f>Empresas!A91</f>
        <v>Empresa</v>
      </c>
      <c r="B80" s="1180" t="s">
        <v>19</v>
      </c>
      <c r="C80" s="1180" t="s">
        <v>20</v>
      </c>
      <c r="D80" s="1180" t="s">
        <v>19</v>
      </c>
      <c r="E80" s="1180" t="s">
        <v>20</v>
      </c>
    </row>
    <row r="81" spans="1:5" x14ac:dyDescent="0.25">
      <c r="A81" s="1183"/>
      <c r="B81" s="1181"/>
      <c r="C81" s="1181"/>
      <c r="D81" s="1181"/>
      <c r="E81" s="1181"/>
    </row>
    <row r="82" spans="1:5" x14ac:dyDescent="0.25">
      <c r="A82" s="13" t="str">
        <f>Empresas!A93</f>
        <v>ANDALUZA DE PAPELERIA (OFIPAPEL)</v>
      </c>
      <c r="B82" s="130">
        <f>[1]Empresas!$H93</f>
        <v>21.588524589645971</v>
      </c>
      <c r="C82" s="933">
        <f>[1]Empresas!$I93</f>
        <v>7</v>
      </c>
      <c r="D82" s="329">
        <f>Empresas!H93</f>
        <v>21.629508198053209</v>
      </c>
      <c r="E82" s="330">
        <f>Empresas!I93</f>
        <v>7</v>
      </c>
    </row>
    <row r="83" spans="1:5" x14ac:dyDescent="0.25">
      <c r="A83" s="13" t="str">
        <f>Empresas!A94</f>
        <v>CECILIO MÁRQUEZ</v>
      </c>
      <c r="B83" s="130">
        <f>[1]Empresas!$H94</f>
        <v>80.278178523138365</v>
      </c>
      <c r="C83" s="933">
        <f>[1]Empresas!$I94</f>
        <v>4</v>
      </c>
      <c r="D83" s="329">
        <f>Empresas!H94</f>
        <v>79.319162086408994</v>
      </c>
      <c r="E83" s="330">
        <f>Empresas!I94</f>
        <v>4</v>
      </c>
    </row>
    <row r="84" spans="1:5" x14ac:dyDescent="0.25">
      <c r="A84" s="13" t="str">
        <f>Empresas!A95</f>
        <v>EL CORTE INGLÉS</v>
      </c>
      <c r="B84" s="130">
        <f>[1]Empresas!$H95</f>
        <v>26.897267788026038</v>
      </c>
      <c r="C84" s="933">
        <f>[1]Empresas!$I95</f>
        <v>6</v>
      </c>
      <c r="D84" s="329">
        <f>Empresas!H95</f>
        <v>26.044808733155485</v>
      </c>
      <c r="E84" s="330">
        <f>Empresas!I95</f>
        <v>6</v>
      </c>
    </row>
    <row r="85" spans="1:5" x14ac:dyDescent="0.25">
      <c r="A85" s="13" t="str">
        <f>Empresas!A96</f>
        <v>GRUPO KAT</v>
      </c>
      <c r="B85" s="130">
        <f>[1]Empresas!$H96</f>
        <v>10.581420857471048</v>
      </c>
      <c r="C85" s="933">
        <f>[1]Empresas!$I96</f>
        <v>9</v>
      </c>
      <c r="D85" s="329">
        <f>Empresas!H96</f>
        <v>8.7629196044298805</v>
      </c>
      <c r="E85" s="330">
        <f>Empresas!I96</f>
        <v>9</v>
      </c>
    </row>
    <row r="86" spans="1:5" x14ac:dyDescent="0.25">
      <c r="A86" s="13" t="str">
        <f>Empresas!A97</f>
        <v>LABELLA S.L</v>
      </c>
      <c r="B86" s="130">
        <f>[1]Empresas!$H97</f>
        <v>73.774364545600037</v>
      </c>
      <c r="C86" s="933">
        <f>[1]Empresas!$I97</f>
        <v>5</v>
      </c>
      <c r="D86" s="329">
        <f>Empresas!H97</f>
        <v>71.863503803612559</v>
      </c>
      <c r="E86" s="330">
        <f>Empresas!I97</f>
        <v>5</v>
      </c>
    </row>
    <row r="87" spans="1:5" x14ac:dyDescent="0.25">
      <c r="A87" s="13" t="str">
        <f>Empresas!A98</f>
        <v>MUEBLES TINAS</v>
      </c>
      <c r="B87" s="130">
        <f>[1]Empresas!$H98</f>
        <v>88.621448054923462</v>
      </c>
      <c r="C87" s="902">
        <f>[1]Empresas!$I98</f>
        <v>1</v>
      </c>
      <c r="D87" s="329">
        <f>Empresas!H98</f>
        <v>89.146038242536108</v>
      </c>
      <c r="E87" s="900">
        <f>Empresas!I98</f>
        <v>1</v>
      </c>
    </row>
    <row r="88" spans="1:5" x14ac:dyDescent="0.25">
      <c r="A88" s="13" t="str">
        <f>Empresas!A99</f>
        <v>OFINET</v>
      </c>
      <c r="B88" s="130">
        <f>[1]Empresas!$H99</f>
        <v>86.171495989803248</v>
      </c>
      <c r="C88" s="933">
        <f>[1]Empresas!$I99</f>
        <v>2</v>
      </c>
      <c r="D88" s="329">
        <f>Empresas!H99</f>
        <v>84.614118870328184</v>
      </c>
      <c r="E88" s="330">
        <f>Empresas!I99</f>
        <v>3</v>
      </c>
    </row>
    <row r="89" spans="1:5" x14ac:dyDescent="0.25">
      <c r="A89" s="13" t="str">
        <f>Empresas!A100</f>
        <v>PAPELERÍA COLÓN</v>
      </c>
      <c r="B89" s="130">
        <f>[1]Empresas!$H100</f>
        <v>20.891803246722922</v>
      </c>
      <c r="C89" s="933">
        <f>[1]Empresas!$I100</f>
        <v>8</v>
      </c>
      <c r="D89" s="329">
        <f>Empresas!H100</f>
        <v>20.891803246722922</v>
      </c>
      <c r="E89" s="330">
        <f>Empresas!I100</f>
        <v>8</v>
      </c>
    </row>
    <row r="90" spans="1:5" x14ac:dyDescent="0.25">
      <c r="A90" s="13" t="str">
        <f>Empresas!A101</f>
        <v>TEXTIL HOGAR</v>
      </c>
      <c r="B90" s="130">
        <f>[1]Empresas!$H101</f>
        <v>85.412159925302404</v>
      </c>
      <c r="C90" s="933">
        <f>[1]Empresas!$I101</f>
        <v>3</v>
      </c>
      <c r="D90" s="329">
        <f>Empresas!H101</f>
        <v>86.178553402517764</v>
      </c>
      <c r="E90" s="330">
        <f>Empresas!I101</f>
        <v>2</v>
      </c>
    </row>
    <row r="91" spans="1:5" x14ac:dyDescent="0.25">
      <c r="D91" s="131"/>
      <c r="E91" s="131"/>
    </row>
  </sheetData>
  <mergeCells count="41">
    <mergeCell ref="A41:A42"/>
    <mergeCell ref="A17:A18"/>
    <mergeCell ref="A55:A56"/>
    <mergeCell ref="A69:A70"/>
    <mergeCell ref="A80:A81"/>
    <mergeCell ref="B2:C2"/>
    <mergeCell ref="D2:E2"/>
    <mergeCell ref="B16:C16"/>
    <mergeCell ref="D16:E16"/>
    <mergeCell ref="B40:C40"/>
    <mergeCell ref="D40:E40"/>
    <mergeCell ref="D80:D81"/>
    <mergeCell ref="E80:E81"/>
    <mergeCell ref="D17:D18"/>
    <mergeCell ref="E17:E18"/>
    <mergeCell ref="D3:D4"/>
    <mergeCell ref="E3:E4"/>
    <mergeCell ref="D41:D42"/>
    <mergeCell ref="E41:E42"/>
    <mergeCell ref="D54:E54"/>
    <mergeCell ref="D68:E68"/>
    <mergeCell ref="D79:E79"/>
    <mergeCell ref="D55:D56"/>
    <mergeCell ref="E55:E56"/>
    <mergeCell ref="D69:D70"/>
    <mergeCell ref="E69:E70"/>
    <mergeCell ref="B80:B81"/>
    <mergeCell ref="C80:C81"/>
    <mergeCell ref="B3:B4"/>
    <mergeCell ref="C3:C4"/>
    <mergeCell ref="B17:B18"/>
    <mergeCell ref="C17:C18"/>
    <mergeCell ref="B41:B42"/>
    <mergeCell ref="C41:C42"/>
    <mergeCell ref="B54:C54"/>
    <mergeCell ref="B68:C68"/>
    <mergeCell ref="B79:C79"/>
    <mergeCell ref="B55:B56"/>
    <mergeCell ref="C55:C56"/>
    <mergeCell ref="B69:B70"/>
    <mergeCell ref="C69:C70"/>
  </mergeCells>
  <conditionalFormatting sqref="C5:C11 C43:C49 C57:C63 C71:C74 C82:C90">
    <cfRule type="cellIs" dxfId="1" priority="2" operator="equal">
      <formula>1</formula>
    </cfRule>
  </conditionalFormatting>
  <conditionalFormatting sqref="B5:C11">
    <cfRule type="cellIs" dxfId="0" priority="1" operator="greaterThan">
      <formula>"29.9"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SheetLayoutView="75" workbookViewId="0">
      <pane ySplit="1" topLeftCell="A2" activePane="bottomLeft" state="frozen"/>
      <selection pane="bottomLeft" activeCell="B74" sqref="B74"/>
    </sheetView>
  </sheetViews>
  <sheetFormatPr baseColWidth="10" defaultRowHeight="13.2" x14ac:dyDescent="0.25"/>
  <cols>
    <col min="1" max="1" width="23.5546875" customWidth="1"/>
    <col min="2" max="2" width="49.6640625" bestFit="1" customWidth="1"/>
    <col min="3" max="3" width="9.33203125" bestFit="1" customWidth="1"/>
    <col min="4" max="4" width="11" style="27" customWidth="1"/>
    <col min="5" max="5" width="5.5546875" customWidth="1"/>
    <col min="6" max="6" width="10.6640625" style="96" customWidth="1"/>
    <col min="7" max="7" width="4.5546875" bestFit="1" customWidth="1"/>
    <col min="8" max="8" width="11.109375" customWidth="1"/>
    <col min="9" max="9" width="4.5546875" bestFit="1" customWidth="1"/>
    <col min="10" max="10" width="11.109375" customWidth="1"/>
    <col min="11" max="11" width="5.5546875" bestFit="1" customWidth="1"/>
    <col min="12" max="12" width="11" customWidth="1"/>
    <col min="13" max="13" width="4.5546875" bestFit="1" customWidth="1"/>
    <col min="14" max="14" width="10.6640625" bestFit="1" customWidth="1"/>
    <col min="15" max="15" width="4.5546875" bestFit="1" customWidth="1"/>
    <col min="16" max="16" width="10.6640625" bestFit="1" customWidth="1"/>
    <col min="17" max="17" width="4.5546875" bestFit="1" customWidth="1"/>
  </cols>
  <sheetData>
    <row r="1" spans="1:17" ht="45.75" customHeight="1" x14ac:dyDescent="0.25">
      <c r="A1" s="407" t="s">
        <v>5</v>
      </c>
      <c r="B1" s="407" t="s">
        <v>6</v>
      </c>
      <c r="C1" s="408" t="s">
        <v>634</v>
      </c>
      <c r="D1" s="996" t="str">
        <f>Empresas!A16</f>
        <v>ASCENDER, S.L.</v>
      </c>
      <c r="E1" s="997"/>
      <c r="F1" s="996" t="str">
        <f>Empresas!A17</f>
        <v>EL CORTE INGLÉS</v>
      </c>
      <c r="G1" s="997"/>
      <c r="H1" s="996" t="str">
        <f>Empresas!A18</f>
        <v>EURO SEATING INTERNATIONAL, S.A.</v>
      </c>
      <c r="I1" s="997"/>
      <c r="J1" s="996" t="str">
        <f>Empresas!A19</f>
        <v>EZCARAY</v>
      </c>
      <c r="K1" s="997"/>
      <c r="L1" s="996" t="str">
        <f>Empresas!A20</f>
        <v>FIGUERAS INTERNATIONAL SEATING</v>
      </c>
      <c r="M1" s="997"/>
      <c r="N1" s="996" t="str">
        <f>Empresas!A21</f>
        <v>MELCO</v>
      </c>
      <c r="O1" s="997"/>
      <c r="P1" s="996" t="str">
        <f>Empresas!A22</f>
        <v>MOGAR</v>
      </c>
      <c r="Q1" s="997"/>
    </row>
    <row r="2" spans="1:17" x14ac:dyDescent="0.25">
      <c r="A2" s="269" t="s">
        <v>244</v>
      </c>
      <c r="B2" s="85" t="s">
        <v>277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291" t="s">
        <v>563</v>
      </c>
      <c r="B3" s="292" t="s">
        <v>139</v>
      </c>
      <c r="C3" s="182">
        <v>2</v>
      </c>
      <c r="D3" s="985" t="s">
        <v>571</v>
      </c>
      <c r="E3" s="976">
        <f>IF(D3="s",$C3,IF(D3="n",$C4,IF(D3=0,"0")))</f>
        <v>0</v>
      </c>
      <c r="F3" s="985" t="s">
        <v>571</v>
      </c>
      <c r="G3" s="976">
        <f>IF(F3="s",$C3,IF(F3="n",$C4,IF(F3=0,"0")))</f>
        <v>0</v>
      </c>
      <c r="H3" s="985" t="s">
        <v>108</v>
      </c>
      <c r="I3" s="976">
        <f>IF(H3="s",$C3,IF(H3="n",$C4,IF(H3=0,"0")))</f>
        <v>2</v>
      </c>
      <c r="J3" s="985" t="s">
        <v>108</v>
      </c>
      <c r="K3" s="976">
        <f>IF(J3="s",$C3,IF(J3="n",$C4,IF(J3=0,"0")))</f>
        <v>2</v>
      </c>
      <c r="L3" s="985" t="s">
        <v>571</v>
      </c>
      <c r="M3" s="976">
        <f>IF(L3="s",$C3,IF(L3="n",$C4,IF(L3=0,"0")))</f>
        <v>0</v>
      </c>
      <c r="N3" s="985" t="s">
        <v>571</v>
      </c>
      <c r="O3" s="976">
        <f>IF(N3="s",$C3,IF(N3="n",$C4,IF(N3=0,"0")))</f>
        <v>0</v>
      </c>
      <c r="P3" s="985" t="s">
        <v>571</v>
      </c>
      <c r="Q3" s="976">
        <f>IF(P3="s",$C3,IF(P3="n",$C4,IF(P3=0,"0")))</f>
        <v>0</v>
      </c>
    </row>
    <row r="4" spans="1:17" x14ac:dyDescent="0.25">
      <c r="A4" s="293">
        <v>2</v>
      </c>
      <c r="B4" s="292" t="s">
        <v>179</v>
      </c>
      <c r="C4" s="182">
        <v>0</v>
      </c>
      <c r="D4" s="986"/>
      <c r="E4" s="977"/>
      <c r="F4" s="986"/>
      <c r="G4" s="977"/>
      <c r="H4" s="986"/>
      <c r="I4" s="977"/>
      <c r="J4" s="986"/>
      <c r="K4" s="977"/>
      <c r="L4" s="986"/>
      <c r="M4" s="977"/>
      <c r="N4" s="986"/>
      <c r="O4" s="977"/>
      <c r="P4" s="986"/>
      <c r="Q4" s="977"/>
    </row>
    <row r="5" spans="1:17" x14ac:dyDescent="0.25">
      <c r="A5" s="289" t="s">
        <v>560</v>
      </c>
      <c r="B5" s="266" t="s">
        <v>139</v>
      </c>
      <c r="C5" s="76">
        <v>2</v>
      </c>
      <c r="D5" s="992" t="s">
        <v>571</v>
      </c>
      <c r="E5" s="979">
        <f>IF(D5="s",$C5,IF(D5="n",$C6,IF(D5=0,"0")))</f>
        <v>0</v>
      </c>
      <c r="F5" s="992" t="s">
        <v>108</v>
      </c>
      <c r="G5" s="979">
        <f>IF(F5="s",$C5,IF(F5="n",$C6,IF(F5=0,"0")))</f>
        <v>2</v>
      </c>
      <c r="H5" s="992" t="s">
        <v>108</v>
      </c>
      <c r="I5" s="979">
        <f>IF(H5="s",$C5,IF(H5="n",$C6,IF(H5=0,"0")))</f>
        <v>2</v>
      </c>
      <c r="J5" s="992" t="s">
        <v>108</v>
      </c>
      <c r="K5" s="979">
        <f>IF(J5="s",$C5,IF(J5="n",$C6,IF(J5=0,"0")))</f>
        <v>2</v>
      </c>
      <c r="L5" s="992" t="s">
        <v>571</v>
      </c>
      <c r="M5" s="979">
        <f>IF(L5="s",$C5,IF(L5="n",$C6,IF(L5=0,"0")))</f>
        <v>0</v>
      </c>
      <c r="N5" s="992" t="s">
        <v>571</v>
      </c>
      <c r="O5" s="979">
        <f>IF(N5="s",$C5,IF(N5="n",$C6,IF(N5=0,"0")))</f>
        <v>0</v>
      </c>
      <c r="P5" s="992" t="s">
        <v>571</v>
      </c>
      <c r="Q5" s="979">
        <f>IF(P5="s",$C5,IF(P5="n",$C6,IF(P5=0,"0")))</f>
        <v>0</v>
      </c>
    </row>
    <row r="6" spans="1:17" x14ac:dyDescent="0.25">
      <c r="A6" s="281">
        <v>2</v>
      </c>
      <c r="B6" s="266" t="s">
        <v>179</v>
      </c>
      <c r="C6" s="76">
        <v>0</v>
      </c>
      <c r="D6" s="993"/>
      <c r="E6" s="980"/>
      <c r="F6" s="993"/>
      <c r="G6" s="980"/>
      <c r="H6" s="993"/>
      <c r="I6" s="980"/>
      <c r="J6" s="993"/>
      <c r="K6" s="980"/>
      <c r="L6" s="993"/>
      <c r="M6" s="980"/>
      <c r="N6" s="993"/>
      <c r="O6" s="980"/>
      <c r="P6" s="993"/>
      <c r="Q6" s="980"/>
    </row>
    <row r="7" spans="1:17" x14ac:dyDescent="0.25">
      <c r="A7" s="291" t="s">
        <v>582</v>
      </c>
      <c r="B7" s="294" t="s">
        <v>633</v>
      </c>
      <c r="C7" s="182">
        <v>3</v>
      </c>
      <c r="D7" s="985">
        <f>D$58</f>
        <v>830</v>
      </c>
      <c r="E7" s="976">
        <f>IF(D7&gt;829,$C7,IF(D7&gt;819,$C8,IF(D7&gt;814,$C9,IF(D7&gt;1,$C10,IF(D7=0,"0")))))</f>
        <v>3</v>
      </c>
      <c r="F7" s="985">
        <f>F$58</f>
        <v>810</v>
      </c>
      <c r="G7" s="976">
        <f>IF(F7&gt;829,$C7,IF(F7&gt;819,$C8,IF(F7&gt;814,$C9,IF(F7&gt;1,$C10,IF(F7=0,"0")))))</f>
        <v>0</v>
      </c>
      <c r="H7" s="985">
        <f>H58</f>
        <v>822</v>
      </c>
      <c r="I7" s="976">
        <f>IF(H7&gt;829,$C7,IF(H7&gt;819,$C8,IF(H7&gt;814,$C9,IF(H7&gt;1,$C10,IF(H7=0,"0")))))</f>
        <v>2</v>
      </c>
      <c r="J7" s="985">
        <f>J58</f>
        <v>835</v>
      </c>
      <c r="K7" s="976">
        <f>IF(J7&gt;829,$C7,IF(J7&gt;819,$C8,IF(J7&gt;814,$C9,IF(J7&gt;1,$C10,IF(J7=0,"0")))))</f>
        <v>3</v>
      </c>
      <c r="L7" s="985">
        <f>L58</f>
        <v>774</v>
      </c>
      <c r="M7" s="976">
        <f>IF(L7&gt;829,$C7,IF(L7&gt;819,$C8,IF(L7&gt;814,$C9,IF(L7&gt;1,$C10,IF(L7=0,"0")))))</f>
        <v>0</v>
      </c>
      <c r="N7" s="985">
        <f>N58</f>
        <v>851</v>
      </c>
      <c r="O7" s="976">
        <f>IF(N7&gt;829,$C7,IF(N7&gt;819,$C8,IF(N7&gt;814,$C9,IF(N7&gt;1,$C10,IF(N7=0,"0")))))</f>
        <v>3</v>
      </c>
      <c r="P7" s="985">
        <f>P58</f>
        <v>851</v>
      </c>
      <c r="Q7" s="976">
        <f>IF(P7&gt;829,$C7,IF(P7&gt;819,$C8,IF(P7&gt;814,$C9,IF(P7&gt;1,$C10,IF(P7=0,"0")))))</f>
        <v>3</v>
      </c>
    </row>
    <row r="8" spans="1:17" x14ac:dyDescent="0.25">
      <c r="A8" s="406"/>
      <c r="B8" s="294" t="s">
        <v>632</v>
      </c>
      <c r="C8" s="390">
        <v>2</v>
      </c>
      <c r="D8" s="987"/>
      <c r="E8" s="977"/>
      <c r="F8" s="987"/>
      <c r="G8" s="977"/>
      <c r="H8" s="987"/>
      <c r="I8" s="977"/>
      <c r="J8" s="987"/>
      <c r="K8" s="977"/>
      <c r="L8" s="987"/>
      <c r="M8" s="977"/>
      <c r="N8" s="987"/>
      <c r="O8" s="977"/>
      <c r="P8" s="987"/>
      <c r="Q8" s="977"/>
    </row>
    <row r="9" spans="1:17" x14ac:dyDescent="0.25">
      <c r="A9" s="248">
        <v>3</v>
      </c>
      <c r="B9" s="294" t="s">
        <v>631</v>
      </c>
      <c r="C9" s="182">
        <v>1</v>
      </c>
      <c r="D9" s="977"/>
      <c r="E9" s="977"/>
      <c r="F9" s="987"/>
      <c r="G9" s="977"/>
      <c r="H9" s="977"/>
      <c r="I9" s="977"/>
      <c r="J9" s="977"/>
      <c r="K9" s="977"/>
      <c r="L9" s="977"/>
      <c r="M9" s="977"/>
      <c r="N9" s="987"/>
      <c r="O9" s="977"/>
      <c r="P9" s="977"/>
      <c r="Q9" s="977"/>
    </row>
    <row r="10" spans="1:17" x14ac:dyDescent="0.25">
      <c r="A10" s="293"/>
      <c r="B10" s="294" t="s">
        <v>583</v>
      </c>
      <c r="C10" s="182">
        <v>0</v>
      </c>
      <c r="D10" s="978"/>
      <c r="E10" s="978"/>
      <c r="F10" s="986"/>
      <c r="G10" s="978"/>
      <c r="H10" s="978"/>
      <c r="I10" s="978"/>
      <c r="J10" s="978"/>
      <c r="K10" s="978"/>
      <c r="L10" s="978"/>
      <c r="M10" s="978"/>
      <c r="N10" s="986"/>
      <c r="O10" s="978"/>
      <c r="P10" s="978"/>
      <c r="Q10" s="978"/>
    </row>
    <row r="11" spans="1:17" x14ac:dyDescent="0.25">
      <c r="A11" s="296" t="s">
        <v>316</v>
      </c>
      <c r="B11" s="288" t="s">
        <v>278</v>
      </c>
      <c r="C11" s="76">
        <v>0</v>
      </c>
      <c r="D11" s="979">
        <v>57</v>
      </c>
      <c r="E11" s="979">
        <f>IF(D11&gt;59,$C13,IF(D11&gt;49,$C12,IF(D11&gt;0,$C11,IF(D11=0,"0"))))</f>
        <v>1</v>
      </c>
      <c r="F11" s="979">
        <v>57</v>
      </c>
      <c r="G11" s="979">
        <f>IF(F11&gt;59,$C13,IF(F11&gt;49,$C12,IF(F11&gt;0,$C11,IF(F11=0,"0"))))</f>
        <v>1</v>
      </c>
      <c r="H11" s="979">
        <v>50</v>
      </c>
      <c r="I11" s="979">
        <f>IF(H11&gt;59,$C13,IF(H11&gt;49,$C12,IF(H11&gt;0,$C11,IF(H11=0,"0"))))</f>
        <v>1</v>
      </c>
      <c r="J11" s="979">
        <v>54</v>
      </c>
      <c r="K11" s="979">
        <f>IF(J11&gt;59,$C13,IF(J11&gt;49,$C12,IF(J11&gt;0,$C11,IF(J11=0,"0"))))</f>
        <v>1</v>
      </c>
      <c r="L11" s="979">
        <v>52.5</v>
      </c>
      <c r="M11" s="979">
        <f>IF(L11&gt;59,$C13,IF(L11&gt;49,$C12,IF(L11&gt;0,$C11,IF(L11=0,"0"))))</f>
        <v>1</v>
      </c>
      <c r="N11" s="979">
        <v>40</v>
      </c>
      <c r="O11" s="979">
        <f>IF(N11&gt;59,$C13,IF(N11&gt;49,$C12,IF(N11&gt;0,$C11,IF(N11=0,"0"))))</f>
        <v>0</v>
      </c>
      <c r="P11" s="979">
        <v>50</v>
      </c>
      <c r="Q11" s="979">
        <f>IF(P11&gt;59,$C13,IF(P11&gt;49,$C12,IF(P11&gt;0,$C11,IF(P11=0,"0"))))</f>
        <v>1</v>
      </c>
    </row>
    <row r="12" spans="1:17" x14ac:dyDescent="0.25">
      <c r="A12" s="281">
        <v>3</v>
      </c>
      <c r="B12" s="288" t="s">
        <v>519</v>
      </c>
      <c r="C12" s="76">
        <v>1</v>
      </c>
      <c r="D12" s="994"/>
      <c r="E12" s="980"/>
      <c r="F12" s="990"/>
      <c r="G12" s="980"/>
      <c r="H12" s="990"/>
      <c r="I12" s="980"/>
      <c r="J12" s="990"/>
      <c r="K12" s="980"/>
      <c r="L12" s="990"/>
      <c r="M12" s="980"/>
      <c r="N12" s="990"/>
      <c r="O12" s="980"/>
      <c r="P12" s="990"/>
      <c r="Q12" s="980"/>
    </row>
    <row r="13" spans="1:17" x14ac:dyDescent="0.25">
      <c r="A13" s="282"/>
      <c r="B13" s="288" t="s">
        <v>279</v>
      </c>
      <c r="C13" s="76">
        <f>A12</f>
        <v>3</v>
      </c>
      <c r="D13" s="995"/>
      <c r="E13" s="981"/>
      <c r="F13" s="991"/>
      <c r="G13" s="981"/>
      <c r="H13" s="991"/>
      <c r="I13" s="981"/>
      <c r="J13" s="991"/>
      <c r="K13" s="981"/>
      <c r="L13" s="991"/>
      <c r="M13" s="981"/>
      <c r="N13" s="991"/>
      <c r="O13" s="981"/>
      <c r="P13" s="991"/>
      <c r="Q13" s="981"/>
    </row>
    <row r="14" spans="1:17" x14ac:dyDescent="0.25">
      <c r="A14" s="291" t="s">
        <v>561</v>
      </c>
      <c r="B14" s="294" t="s">
        <v>562</v>
      </c>
      <c r="C14" s="182">
        <v>3</v>
      </c>
      <c r="D14" s="976">
        <v>56</v>
      </c>
      <c r="E14" s="976">
        <f>IF(D14&gt;69,$C14,IF(D14&gt;59,$C15,IF(D14&gt;0,$C16,IF(D14=0,"0"))))</f>
        <v>0</v>
      </c>
      <c r="F14" s="976">
        <v>63</v>
      </c>
      <c r="G14" s="976">
        <f>IF(F14&gt;69,$C14,IF(F14&gt;59,$C15,IF(F14&gt;0,$C16,IF(F14=0,"0"))))</f>
        <v>1</v>
      </c>
      <c r="H14" s="976">
        <v>62</v>
      </c>
      <c r="I14" s="976">
        <f>IF(H14&gt;69,$C14,IF(H14&gt;59,$C15,IF(H14&gt;0,$C16,IF(H14=0,"0"))))</f>
        <v>1</v>
      </c>
      <c r="J14" s="976">
        <v>65</v>
      </c>
      <c r="K14" s="976">
        <f>IF(J14&gt;69,$C14,IF(J14&gt;59,$C15,IF(J14&gt;0,$C16,IF(J14=0,"0"))))</f>
        <v>1</v>
      </c>
      <c r="L14" s="976">
        <v>72</v>
      </c>
      <c r="M14" s="976">
        <f>IF(L14&gt;69,$C14,IF(L14&gt;59,$C15,IF(L14&gt;0,$C16,IF(L14=0,"0"))))</f>
        <v>3</v>
      </c>
      <c r="N14" s="976">
        <v>68</v>
      </c>
      <c r="O14" s="976">
        <f>IF(N14&gt;69,$C14,IF(N14&gt;59,$C15,IF(N14&gt;0,$C16,IF(N14=0,"0"))))</f>
        <v>1</v>
      </c>
      <c r="P14" s="976">
        <v>73</v>
      </c>
      <c r="Q14" s="976">
        <f>IF(P14&gt;69,$C14,IF(P14&gt;59,$C15,IF(P14&gt;0,$C16,IF(P14=0,"0"))))</f>
        <v>3</v>
      </c>
    </row>
    <row r="15" spans="1:17" x14ac:dyDescent="0.25">
      <c r="A15" s="248">
        <v>3</v>
      </c>
      <c r="B15" s="294" t="s">
        <v>564</v>
      </c>
      <c r="C15" s="182">
        <v>1</v>
      </c>
      <c r="D15" s="977"/>
      <c r="E15" s="977"/>
      <c r="F15" s="977"/>
      <c r="G15" s="977"/>
      <c r="H15" s="977"/>
      <c r="I15" s="977"/>
      <c r="J15" s="977"/>
      <c r="K15" s="977"/>
      <c r="L15" s="977"/>
      <c r="M15" s="977"/>
      <c r="N15" s="977"/>
      <c r="O15" s="977"/>
      <c r="P15" s="977"/>
      <c r="Q15" s="977"/>
    </row>
    <row r="16" spans="1:17" x14ac:dyDescent="0.25">
      <c r="A16" s="293"/>
      <c r="B16" s="294" t="s">
        <v>565</v>
      </c>
      <c r="C16" s="182">
        <v>0</v>
      </c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</row>
    <row r="17" spans="1:17" x14ac:dyDescent="0.25">
      <c r="A17" s="296" t="s">
        <v>572</v>
      </c>
      <c r="B17" s="288" t="s">
        <v>574</v>
      </c>
      <c r="C17" s="76">
        <v>0</v>
      </c>
      <c r="D17" s="979">
        <v>6</v>
      </c>
      <c r="E17" s="979">
        <f>IF(D17&gt;6.9,$C19,IF(D17&gt;4.9,$C18,IF(D17&gt;0,$C17,IF(D17=0,"0"))))</f>
        <v>1</v>
      </c>
      <c r="F17" s="979">
        <v>4</v>
      </c>
      <c r="G17" s="979">
        <f>IF(F17&gt;6.9,$C19,IF(F17&gt;4.9,$C18,IF(F17&gt;0,$C17,IF(F17=0,"0"))))</f>
        <v>0</v>
      </c>
      <c r="H17" s="979">
        <v>4</v>
      </c>
      <c r="I17" s="979">
        <f>IF(H17&gt;6.9,$C19,IF(H17&gt;4.9,$C18,IF(H17&gt;0,$C17,IF(H17=0,"0"))))</f>
        <v>0</v>
      </c>
      <c r="J17" s="979">
        <v>7</v>
      </c>
      <c r="K17" s="979">
        <f>IF(J17&gt;6.9,$C19,IF(J17&gt;4.9,$C18,IF(J17&gt;0,$C17,IF(J17=0,"0"))))</f>
        <v>3</v>
      </c>
      <c r="L17" s="979">
        <v>8</v>
      </c>
      <c r="M17" s="979">
        <f>IF(L17&gt;6.9,$C19,IF(L17&gt;4.9,$C18,IF(L17&gt;0,$C17,IF(L17=0,"0"))))</f>
        <v>3</v>
      </c>
      <c r="N17" s="979">
        <v>8</v>
      </c>
      <c r="O17" s="979">
        <f>IF(N17&gt;6.9,$C19,IF(N17&gt;4.9,$C18,IF(N17&gt;0,$C17,IF(N17=0,"0"))))</f>
        <v>3</v>
      </c>
      <c r="P17" s="979">
        <v>8</v>
      </c>
      <c r="Q17" s="979">
        <f>IF(P17&gt;6.9,$C19,IF(P17&gt;4.9,$C18,IF(P17&gt;0,$C17,IF(P17=0,"0"))))</f>
        <v>3</v>
      </c>
    </row>
    <row r="18" spans="1:17" x14ac:dyDescent="0.25">
      <c r="A18" s="297">
        <v>3</v>
      </c>
      <c r="B18" s="307" t="s">
        <v>577</v>
      </c>
      <c r="C18" s="76">
        <v>1</v>
      </c>
      <c r="D18" s="994"/>
      <c r="E18" s="980"/>
      <c r="F18" s="990"/>
      <c r="G18" s="980"/>
      <c r="H18" s="990"/>
      <c r="I18" s="980"/>
      <c r="J18" s="990"/>
      <c r="K18" s="980"/>
      <c r="L18" s="990"/>
      <c r="M18" s="980"/>
      <c r="N18" s="990"/>
      <c r="O18" s="980"/>
      <c r="P18" s="990"/>
      <c r="Q18" s="980"/>
    </row>
    <row r="19" spans="1:17" x14ac:dyDescent="0.25">
      <c r="A19" s="298"/>
      <c r="B19" s="307" t="s">
        <v>576</v>
      </c>
      <c r="C19" s="76">
        <f>A18</f>
        <v>3</v>
      </c>
      <c r="D19" s="995"/>
      <c r="E19" s="981"/>
      <c r="F19" s="991"/>
      <c r="G19" s="981"/>
      <c r="H19" s="991"/>
      <c r="I19" s="981"/>
      <c r="J19" s="991"/>
      <c r="K19" s="981"/>
      <c r="L19" s="991"/>
      <c r="M19" s="981"/>
      <c r="N19" s="991"/>
      <c r="O19" s="981"/>
      <c r="P19" s="991"/>
      <c r="Q19" s="981"/>
    </row>
    <row r="20" spans="1:17" x14ac:dyDescent="0.25">
      <c r="A20" s="306" t="s">
        <v>575</v>
      </c>
      <c r="B20" s="270" t="s">
        <v>574</v>
      </c>
      <c r="C20" s="182">
        <v>0</v>
      </c>
      <c r="D20" s="976">
        <v>7</v>
      </c>
      <c r="E20" s="976">
        <f>IF(D20&gt;9.9,$C22,IF(D20&gt;6.9,$C21,IF(D20&gt;0,$C20,IF(D20=0,"0"))))</f>
        <v>1</v>
      </c>
      <c r="F20" s="976">
        <v>8.5</v>
      </c>
      <c r="G20" s="976">
        <f>IF(F20&gt;9.9,$C22,IF(F20&gt;6.9,$C21,IF(F20&gt;0,$C20,IF(F20=0,"0"))))</f>
        <v>1</v>
      </c>
      <c r="H20" s="976">
        <v>8</v>
      </c>
      <c r="I20" s="976">
        <f>IF(H20&gt;9.9,$C22,IF(H20&gt;6.9,$C21,IF(H20&gt;0,$C20,IF(H20=0,"0"))))</f>
        <v>1</v>
      </c>
      <c r="J20" s="976">
        <v>11.5</v>
      </c>
      <c r="K20" s="976">
        <f>IF(J20&gt;9.9,$C22,IF(J20&gt;6.9,$C21,IF(J20&gt;0,$C20,IF(J20=0,"0"))))</f>
        <v>3</v>
      </c>
      <c r="L20" s="976">
        <v>12</v>
      </c>
      <c r="M20" s="976">
        <f>IF(L20&gt;9.9,$C22,IF(L20&gt;6.9,$C21,IF(L20&gt;0,$C20,IF(L20=0,"0"))))</f>
        <v>3</v>
      </c>
      <c r="N20" s="976">
        <v>10</v>
      </c>
      <c r="O20" s="976">
        <f>IF(N20&gt;9.9,$C22,IF(N20&gt;6.9,$C21,IF(N20&gt;0,$C20,IF(N20=0,"0"))))</f>
        <v>3</v>
      </c>
      <c r="P20" s="976">
        <v>10.5</v>
      </c>
      <c r="Q20" s="976">
        <f>IF(P20&gt;9.9,$C22,IF(P20&gt;6.9,$C21,IF(P20&gt;0,$C20,IF(P20=0,"0"))))</f>
        <v>3</v>
      </c>
    </row>
    <row r="21" spans="1:17" x14ac:dyDescent="0.25">
      <c r="A21" s="299">
        <v>3</v>
      </c>
      <c r="B21" s="270" t="s">
        <v>573</v>
      </c>
      <c r="C21" s="182">
        <v>1</v>
      </c>
      <c r="D21" s="998"/>
      <c r="E21" s="977"/>
      <c r="F21" s="988"/>
      <c r="G21" s="977"/>
      <c r="H21" s="988"/>
      <c r="I21" s="977"/>
      <c r="J21" s="988"/>
      <c r="K21" s="977"/>
      <c r="L21" s="988"/>
      <c r="M21" s="977"/>
      <c r="N21" s="988"/>
      <c r="O21" s="977"/>
      <c r="P21" s="988"/>
      <c r="Q21" s="977"/>
    </row>
    <row r="22" spans="1:17" x14ac:dyDescent="0.25">
      <c r="A22" s="300"/>
      <c r="B22" s="294" t="s">
        <v>578</v>
      </c>
      <c r="C22" s="182">
        <f>A21</f>
        <v>3</v>
      </c>
      <c r="D22" s="999"/>
      <c r="E22" s="978"/>
      <c r="F22" s="989"/>
      <c r="G22" s="978"/>
      <c r="H22" s="989"/>
      <c r="I22" s="978"/>
      <c r="J22" s="989"/>
      <c r="K22" s="978"/>
      <c r="L22" s="989"/>
      <c r="M22" s="978"/>
      <c r="N22" s="989"/>
      <c r="O22" s="978"/>
      <c r="P22" s="989"/>
      <c r="Q22" s="978"/>
    </row>
    <row r="23" spans="1:17" x14ac:dyDescent="0.25">
      <c r="A23" s="124" t="s">
        <v>283</v>
      </c>
      <c r="B23" s="75" t="s">
        <v>280</v>
      </c>
      <c r="C23" s="76">
        <v>0</v>
      </c>
      <c r="D23" s="979">
        <v>65</v>
      </c>
      <c r="E23" s="979">
        <f>IF(D23&gt;64,$C25,IF(D23&gt;59,$C24,IF(D23&gt;0,$C23,IF(D23=0,"0"))))</f>
        <v>3</v>
      </c>
      <c r="F23" s="979">
        <v>57</v>
      </c>
      <c r="G23" s="979">
        <f>IF(F23&gt;64,$C25,IF(F23&gt;59,$C24,IF(F23&gt;0,$C23,IF(F23=0,"0"))))</f>
        <v>0</v>
      </c>
      <c r="H23" s="979">
        <v>60</v>
      </c>
      <c r="I23" s="979">
        <f>IF(H23&gt;64,$C25,IF(H23&gt;59,$C24,IF(H23&gt;0,$C23,IF(H23=0,"0"))))</f>
        <v>1</v>
      </c>
      <c r="J23" s="979">
        <v>65</v>
      </c>
      <c r="K23" s="979">
        <f>IF(J23&gt;64,$C25,IF(J23&gt;59,$C24,IF(J23&gt;0,$C23,IF(J23=0,"0"))))</f>
        <v>3</v>
      </c>
      <c r="L23" s="979">
        <v>62.5</v>
      </c>
      <c r="M23" s="979">
        <f>IF(L23&gt;64,$C25,IF(L23&gt;59,$C24,IF(L23&gt;0,$C23,IF(L23=0,"0"))))</f>
        <v>1</v>
      </c>
      <c r="N23" s="979">
        <v>65</v>
      </c>
      <c r="O23" s="979">
        <f>IF(N23&gt;64,$C25,IF(N23&gt;59,$C24,IF(N23&gt;0,$C23,IF(N23=0,"0"))))</f>
        <v>3</v>
      </c>
      <c r="P23" s="979">
        <v>65</v>
      </c>
      <c r="Q23" s="979">
        <f>IF(P23&gt;64,$C25,IF(P23&gt;59,$C24,IF(P23&gt;0,$C23,IF(P23=0,"0"))))</f>
        <v>3</v>
      </c>
    </row>
    <row r="24" spans="1:17" ht="12.75" customHeight="1" x14ac:dyDescent="0.25">
      <c r="A24" s="281">
        <v>3</v>
      </c>
      <c r="B24" s="75" t="s">
        <v>566</v>
      </c>
      <c r="C24" s="76">
        <v>1</v>
      </c>
      <c r="D24" s="994"/>
      <c r="E24" s="980"/>
      <c r="F24" s="990"/>
      <c r="G24" s="980"/>
      <c r="H24" s="990"/>
      <c r="I24" s="980"/>
      <c r="J24" s="990"/>
      <c r="K24" s="980"/>
      <c r="L24" s="990"/>
      <c r="M24" s="980"/>
      <c r="N24" s="990"/>
      <c r="O24" s="980"/>
      <c r="P24" s="990"/>
      <c r="Q24" s="980"/>
    </row>
    <row r="25" spans="1:17" ht="12.75" customHeight="1" x14ac:dyDescent="0.25">
      <c r="A25" s="282"/>
      <c r="B25" s="75" t="s">
        <v>281</v>
      </c>
      <c r="C25" s="76">
        <f>A24</f>
        <v>3</v>
      </c>
      <c r="D25" s="995"/>
      <c r="E25" s="981"/>
      <c r="F25" s="991"/>
      <c r="G25" s="981"/>
      <c r="H25" s="991"/>
      <c r="I25" s="981"/>
      <c r="J25" s="991"/>
      <c r="K25" s="981"/>
      <c r="L25" s="991"/>
      <c r="M25" s="981"/>
      <c r="N25" s="991"/>
      <c r="O25" s="981"/>
      <c r="P25" s="991"/>
      <c r="Q25" s="981"/>
    </row>
    <row r="26" spans="1:17" x14ac:dyDescent="0.25">
      <c r="A26" s="268" t="s">
        <v>207</v>
      </c>
      <c r="B26" s="270" t="s">
        <v>586</v>
      </c>
      <c r="C26" s="182">
        <f>A28</f>
        <v>3</v>
      </c>
      <c r="D26" s="976">
        <v>45.5</v>
      </c>
      <c r="E26" s="976">
        <f>IF(D26&gt;44,$C26,IF(D26&gt;39,$C27,IF(D26&gt;0,$C28,IF(D26=0,"0"))))</f>
        <v>3</v>
      </c>
      <c r="F26" s="976">
        <v>43</v>
      </c>
      <c r="G26" s="976">
        <f>IF(F26&gt;44,$C26,IF(F26&gt;39,$C27,IF(F26&gt;0,$C28,IF(F26=0,"0"))))</f>
        <v>1</v>
      </c>
      <c r="H26" s="976">
        <v>45</v>
      </c>
      <c r="I26" s="976">
        <f>IF(H26&gt;44,$C26,IF(H26&gt;39,$C27,IF(H26&gt;0,$C28,IF(H26=0,"0"))))</f>
        <v>3</v>
      </c>
      <c r="J26" s="976">
        <v>45</v>
      </c>
      <c r="K26" s="976">
        <f>IF(J26&gt;44,$C26,IF(J26&gt;39,$C27,IF(J26&gt;0,$C28,IF(J26=0,"0"))))</f>
        <v>3</v>
      </c>
      <c r="L26" s="976">
        <v>49</v>
      </c>
      <c r="M26" s="976">
        <f>IF(L26&gt;44,$C26,IF(L26&gt;39,$C27,IF(L26&gt;0,$C28,IF(L26=0,"0"))))</f>
        <v>3</v>
      </c>
      <c r="N26" s="976">
        <v>42</v>
      </c>
      <c r="O26" s="976">
        <f>IF(N26&gt;44,$C26,IF(N26&gt;39,$C27,IF(N26&gt;0,$C28,IF(N26=0,"0"))))</f>
        <v>1</v>
      </c>
      <c r="P26" s="976">
        <v>42</v>
      </c>
      <c r="Q26" s="976">
        <f>IF(P26&gt;44,$C26,IF(P26&gt;39,$C27,IF(P26&gt;0,$C28,IF(P26=0,"0"))))</f>
        <v>1</v>
      </c>
    </row>
    <row r="27" spans="1:17" x14ac:dyDescent="0.25">
      <c r="A27" s="305"/>
      <c r="B27" s="270" t="s">
        <v>587</v>
      </c>
      <c r="C27" s="182">
        <v>1</v>
      </c>
      <c r="D27" s="977"/>
      <c r="E27" s="977"/>
      <c r="F27" s="977"/>
      <c r="G27" s="977"/>
      <c r="H27" s="977"/>
      <c r="I27" s="977"/>
      <c r="J27" s="977"/>
      <c r="K27" s="977"/>
      <c r="L27" s="977"/>
      <c r="M27" s="977"/>
      <c r="N27" s="977"/>
      <c r="O27" s="977"/>
      <c r="P27" s="977"/>
      <c r="Q27" s="977"/>
    </row>
    <row r="28" spans="1:17" x14ac:dyDescent="0.25">
      <c r="A28" s="293">
        <v>3</v>
      </c>
      <c r="B28" s="270" t="s">
        <v>588</v>
      </c>
      <c r="C28" s="182">
        <v>0</v>
      </c>
      <c r="D28" s="977"/>
      <c r="E28" s="978"/>
      <c r="F28" s="977"/>
      <c r="G28" s="978"/>
      <c r="H28" s="977"/>
      <c r="I28" s="978"/>
      <c r="J28" s="977"/>
      <c r="K28" s="978"/>
      <c r="L28" s="977"/>
      <c r="M28" s="978"/>
      <c r="N28" s="977"/>
      <c r="O28" s="978"/>
      <c r="P28" s="977"/>
      <c r="Q28" s="978"/>
    </row>
    <row r="29" spans="1:17" x14ac:dyDescent="0.25">
      <c r="A29" s="124" t="s">
        <v>206</v>
      </c>
      <c r="B29" s="288" t="s">
        <v>586</v>
      </c>
      <c r="C29" s="76">
        <v>3</v>
      </c>
      <c r="D29" s="979">
        <v>44</v>
      </c>
      <c r="E29" s="979">
        <f>IF(D29&gt;44,$C29,IF(D29&gt;39,$C30,IF(D29&gt;0,$C31,IF(D29=0,"0"))))</f>
        <v>1</v>
      </c>
      <c r="F29" s="979">
        <v>46</v>
      </c>
      <c r="G29" s="979">
        <f>IF(F29&gt;44,$C29,IF(F29&gt;39,$C30,IF(F29&gt;0,$C31,IF(F29=0,"0"))))</f>
        <v>3</v>
      </c>
      <c r="H29" s="979">
        <v>46</v>
      </c>
      <c r="I29" s="979">
        <f>IF(H29&gt;44,$C29,IF(H29&gt;39,$C30,IF(H29&gt;0,$C31,IF(H29=0,"0"))))</f>
        <v>3</v>
      </c>
      <c r="J29" s="979">
        <v>46</v>
      </c>
      <c r="K29" s="979">
        <f>IF(J29&gt;44,$C29,IF(J29&gt;39,$C30,IF(J29&gt;0,$C31,IF(J29=0,"0"))))</f>
        <v>3</v>
      </c>
      <c r="L29" s="979">
        <v>46</v>
      </c>
      <c r="M29" s="979">
        <f>IF(L29&gt;44,$C29,IF(L29&gt;39,$C30,IF(L29&gt;0,$C31,IF(L29=0,"0"))))</f>
        <v>3</v>
      </c>
      <c r="N29" s="979">
        <v>43.5</v>
      </c>
      <c r="O29" s="979">
        <f>IF(N29&gt;44,$C29,IF(N29&gt;39,$C30,IF(N29&gt;0,$C31,IF(N29=0,"0"))))</f>
        <v>1</v>
      </c>
      <c r="P29" s="979">
        <v>44</v>
      </c>
      <c r="Q29" s="979">
        <f>IF(P29&gt;44,$C29,IF(P29&gt;39,$C30,IF(P29&gt;0,$C31,IF(P29=0,"0"))))</f>
        <v>1</v>
      </c>
    </row>
    <row r="30" spans="1:17" x14ac:dyDescent="0.25">
      <c r="A30" s="384">
        <v>3</v>
      </c>
      <c r="B30" s="288" t="s">
        <v>587</v>
      </c>
      <c r="C30" s="76">
        <v>1</v>
      </c>
      <c r="D30" s="980"/>
      <c r="E30" s="980"/>
      <c r="F30" s="980"/>
      <c r="G30" s="980"/>
      <c r="H30" s="980"/>
      <c r="I30" s="980"/>
      <c r="J30" s="980"/>
      <c r="K30" s="980"/>
      <c r="L30" s="980"/>
      <c r="M30" s="980"/>
      <c r="N30" s="980"/>
      <c r="O30" s="980"/>
      <c r="P30" s="980"/>
      <c r="Q30" s="980"/>
    </row>
    <row r="31" spans="1:17" x14ac:dyDescent="0.25">
      <c r="A31" s="385"/>
      <c r="B31" s="288" t="s">
        <v>588</v>
      </c>
      <c r="C31" s="76">
        <v>0</v>
      </c>
      <c r="D31" s="981"/>
      <c r="E31" s="981"/>
      <c r="F31" s="981"/>
      <c r="G31" s="981"/>
      <c r="H31" s="981"/>
      <c r="I31" s="981"/>
      <c r="J31" s="981"/>
      <c r="K31" s="981"/>
      <c r="L31" s="981"/>
      <c r="M31" s="981"/>
      <c r="N31" s="981"/>
      <c r="O31" s="981"/>
      <c r="P31" s="981"/>
      <c r="Q31" s="981"/>
    </row>
    <row r="32" spans="1:17" x14ac:dyDescent="0.25">
      <c r="A32" s="268" t="s">
        <v>318</v>
      </c>
      <c r="B32" s="259" t="s">
        <v>319</v>
      </c>
      <c r="C32" s="182">
        <v>3</v>
      </c>
      <c r="D32" s="310"/>
      <c r="E32" s="976">
        <f>IF(D32="s",$C32,IF(D33="s",$C33,IF(D34="s",$C34,IF(D32=0,"0"))))</f>
        <v>1</v>
      </c>
      <c r="F32" s="328"/>
      <c r="G32" s="976">
        <f>IF(F32="s",$C32,IF(F33="s",$C33,IF(F34="s",$C34,IF(F32=0,"0"))))</f>
        <v>1</v>
      </c>
      <c r="H32" s="310" t="s">
        <v>108</v>
      </c>
      <c r="I32" s="976">
        <f>IF(H32="s",$C32,IF(H33="s",$C33,IF(H34="s",$C34,IF(H32=0,"0"))))</f>
        <v>3</v>
      </c>
      <c r="J32" s="310" t="s">
        <v>108</v>
      </c>
      <c r="K32" s="976">
        <f>IF(J32="s",$C32,IF(J33="s",$C33,IF(J34="s",$C34,IF(J32=0,"0"))))</f>
        <v>3</v>
      </c>
      <c r="L32" s="310" t="s">
        <v>108</v>
      </c>
      <c r="M32" s="976">
        <f>IF(L32="s",$C32,IF(L33="s",$C33,IF(L34="s",$C34,IF(L32=0,"0"))))</f>
        <v>3</v>
      </c>
      <c r="N32" s="328" t="s">
        <v>108</v>
      </c>
      <c r="O32" s="976">
        <f>IF(N32="s",$C32,IF(N33="s",$C33,IF(N34="s",$C34,IF(N32=0,"0"))))</f>
        <v>3</v>
      </c>
      <c r="P32" s="310" t="s">
        <v>108</v>
      </c>
      <c r="Q32" s="976">
        <f>IF(P32="s",$C32,IF(P33="s",$C33,IF(P34="s",$C34,IF(P32=0,"0"))))</f>
        <v>3</v>
      </c>
    </row>
    <row r="33" spans="1:17" x14ac:dyDescent="0.25">
      <c r="A33" s="283">
        <v>3</v>
      </c>
      <c r="B33" s="259" t="s">
        <v>320</v>
      </c>
      <c r="C33" s="182">
        <v>1</v>
      </c>
      <c r="D33" s="328" t="s">
        <v>108</v>
      </c>
      <c r="E33" s="977"/>
      <c r="F33" s="328" t="s">
        <v>108</v>
      </c>
      <c r="G33" s="977"/>
      <c r="H33" s="328"/>
      <c r="I33" s="977"/>
      <c r="J33" s="328"/>
      <c r="K33" s="977"/>
      <c r="L33" s="328"/>
      <c r="M33" s="977"/>
      <c r="N33" s="328"/>
      <c r="O33" s="977"/>
      <c r="P33" s="328"/>
      <c r="Q33" s="977"/>
    </row>
    <row r="34" spans="1:17" x14ac:dyDescent="0.25">
      <c r="A34" s="284"/>
      <c r="B34" s="259" t="s">
        <v>321</v>
      </c>
      <c r="C34" s="182">
        <v>0</v>
      </c>
      <c r="D34" s="328"/>
      <c r="E34" s="978"/>
      <c r="F34" s="328"/>
      <c r="G34" s="978"/>
      <c r="H34" s="328"/>
      <c r="I34" s="978"/>
      <c r="J34" s="328"/>
      <c r="K34" s="978"/>
      <c r="L34" s="328"/>
      <c r="M34" s="978"/>
      <c r="N34" s="328"/>
      <c r="O34" s="978"/>
      <c r="P34" s="328"/>
      <c r="Q34" s="978"/>
    </row>
    <row r="35" spans="1:17" x14ac:dyDescent="0.25">
      <c r="A35" s="124" t="s">
        <v>284</v>
      </c>
      <c r="B35" s="110" t="s">
        <v>286</v>
      </c>
      <c r="C35" s="76">
        <v>2</v>
      </c>
      <c r="D35" s="982">
        <v>120000</v>
      </c>
      <c r="E35" s="979">
        <f>IF(D35&gt;199999,$C35,IF(D35&gt;99999,$C36,IF(D35&gt;1,$C37,IF(D35=0,"0"))))</f>
        <v>1</v>
      </c>
      <c r="F35" s="982">
        <v>533933</v>
      </c>
      <c r="G35" s="979">
        <f>IF(F35&gt;199999,$C35,IF(F35&gt;99999,$C36,IF(F35&gt;1,$C37,IF(F35=0,"0"))))</f>
        <v>2</v>
      </c>
      <c r="H35" s="982">
        <v>120000</v>
      </c>
      <c r="I35" s="979">
        <f>IF(H35&gt;199999,$C35,IF(H35&gt;99999,$C36,IF(H35&gt;1,$C37,IF(H35=0,"0"))))</f>
        <v>1</v>
      </c>
      <c r="J35" s="982">
        <v>120000</v>
      </c>
      <c r="K35" s="979">
        <f>IF(J35&gt;199999,$C35,IF(J35&gt;99999,$C36,IF(J35&gt;1,$C37,IF(J35=0,"0"))))</f>
        <v>1</v>
      </c>
      <c r="L35" s="982">
        <v>500000</v>
      </c>
      <c r="M35" s="979">
        <f>IF(L35&gt;199999,$C35,IF(L35&gt;99999,$C36,IF(L35&gt;1,$C37,IF(L35=0,"0"))))</f>
        <v>2</v>
      </c>
      <c r="N35" s="982"/>
      <c r="O35" s="979" t="str">
        <f>IF(N35&gt;199999,$C35,IF(N35&gt;99999,$C36,IF(N35&gt;1,$C37,IF(N35=0,"0"))))</f>
        <v>0</v>
      </c>
      <c r="P35" s="982">
        <v>120000</v>
      </c>
      <c r="Q35" s="979">
        <f>IF(P35&gt;199999,$C35,IF(P35&gt;99999,$C36,IF(P35&gt;1,$C37,IF(P35=0,"0"))))</f>
        <v>1</v>
      </c>
    </row>
    <row r="36" spans="1:17" x14ac:dyDescent="0.25">
      <c r="A36" s="281">
        <v>2</v>
      </c>
      <c r="B36" s="110" t="s">
        <v>285</v>
      </c>
      <c r="C36" s="76">
        <v>1</v>
      </c>
      <c r="D36" s="983"/>
      <c r="E36" s="980"/>
      <c r="F36" s="983"/>
      <c r="G36" s="980"/>
      <c r="H36" s="983"/>
      <c r="I36" s="980"/>
      <c r="J36" s="983"/>
      <c r="K36" s="980"/>
      <c r="L36" s="983"/>
      <c r="M36" s="980"/>
      <c r="N36" s="983"/>
      <c r="O36" s="980"/>
      <c r="P36" s="983"/>
      <c r="Q36" s="980"/>
    </row>
    <row r="37" spans="1:17" x14ac:dyDescent="0.25">
      <c r="A37" s="282"/>
      <c r="B37" s="110" t="s">
        <v>287</v>
      </c>
      <c r="C37" s="76">
        <v>0</v>
      </c>
      <c r="D37" s="984"/>
      <c r="E37" s="981"/>
      <c r="F37" s="984"/>
      <c r="G37" s="981"/>
      <c r="H37" s="984"/>
      <c r="I37" s="981"/>
      <c r="J37" s="984"/>
      <c r="K37" s="981"/>
      <c r="L37" s="984"/>
      <c r="M37" s="981"/>
      <c r="N37" s="984"/>
      <c r="O37" s="981"/>
      <c r="P37" s="984"/>
      <c r="Q37" s="981"/>
    </row>
    <row r="38" spans="1:17" x14ac:dyDescent="0.25">
      <c r="A38" s="268" t="s">
        <v>567</v>
      </c>
      <c r="B38" s="245" t="s">
        <v>82</v>
      </c>
      <c r="C38" s="182">
        <v>3</v>
      </c>
      <c r="D38" s="387"/>
      <c r="E38" s="976">
        <f>IF(D38="s",$C38,IF(D39="s",$C39,IF(D40="s",$C40,IF(D38=0,"0"))))</f>
        <v>1</v>
      </c>
      <c r="F38" s="387"/>
      <c r="G38" s="976">
        <f>IF(F38="s",$C38,IF(F39="s",$C39,IF(F40="s",$C40,IF(F38=0,"0"))))</f>
        <v>1</v>
      </c>
      <c r="H38" s="387"/>
      <c r="I38" s="976">
        <f>IF(H38="s",$C38,IF(H39="s",$C39,IF(H40="s",$C40,IF(H38=0,"0"))))</f>
        <v>1</v>
      </c>
      <c r="J38" s="387"/>
      <c r="K38" s="976">
        <f>IF(J38="s",$C38,IF(J39="s",$C39,IF(J40="s",$C40,IF(J38=0,"0"))))</f>
        <v>1</v>
      </c>
      <c r="L38" s="387"/>
      <c r="M38" s="976">
        <f>IF(L38="s",$C38,IF(L39="s",$C39,IF(L40="s",$C40,IF(L38=0,"0"))))</f>
        <v>1</v>
      </c>
      <c r="N38" s="387"/>
      <c r="O38" s="976">
        <f>IF(N38="s",$C38,IF(N39="s",$C39,IF(N40="s",$C40,IF(N38=0,"0"))))</f>
        <v>0</v>
      </c>
      <c r="P38" s="387"/>
      <c r="Q38" s="976">
        <f>IF(P38="s",$C38,IF(P39="s",$C39,IF(P40="s",$C40,IF(P38=0,"0"))))</f>
        <v>1</v>
      </c>
    </row>
    <row r="39" spans="1:17" x14ac:dyDescent="0.25">
      <c r="A39" s="248">
        <v>3</v>
      </c>
      <c r="B39" s="245" t="s">
        <v>230</v>
      </c>
      <c r="C39" s="182">
        <v>1</v>
      </c>
      <c r="D39" s="387" t="s">
        <v>108</v>
      </c>
      <c r="E39" s="977"/>
      <c r="F39" s="387" t="s">
        <v>108</v>
      </c>
      <c r="G39" s="977"/>
      <c r="H39" s="387" t="s">
        <v>108</v>
      </c>
      <c r="I39" s="977"/>
      <c r="J39" s="387" t="s">
        <v>108</v>
      </c>
      <c r="K39" s="977"/>
      <c r="L39" s="387" t="s">
        <v>108</v>
      </c>
      <c r="M39" s="977"/>
      <c r="N39" s="387"/>
      <c r="O39" s="977"/>
      <c r="P39" s="387" t="s">
        <v>108</v>
      </c>
      <c r="Q39" s="977"/>
    </row>
    <row r="40" spans="1:17" x14ac:dyDescent="0.25">
      <c r="A40" s="277"/>
      <c r="B40" s="245" t="s">
        <v>231</v>
      </c>
      <c r="C40" s="182">
        <v>0</v>
      </c>
      <c r="D40" s="387"/>
      <c r="E40" s="978"/>
      <c r="F40" s="387"/>
      <c r="G40" s="978"/>
      <c r="H40" s="387"/>
      <c r="I40" s="978"/>
      <c r="J40" s="387"/>
      <c r="K40" s="978"/>
      <c r="L40" s="387"/>
      <c r="M40" s="978"/>
      <c r="N40" s="387" t="s">
        <v>108</v>
      </c>
      <c r="O40" s="978"/>
      <c r="P40" s="387"/>
      <c r="Q40" s="978"/>
    </row>
    <row r="41" spans="1:17" x14ac:dyDescent="0.25">
      <c r="A41" s="285" t="s">
        <v>568</v>
      </c>
      <c r="B41" s="385" t="s">
        <v>627</v>
      </c>
      <c r="C41" s="386">
        <v>3</v>
      </c>
      <c r="D41" s="389" t="s">
        <v>108</v>
      </c>
      <c r="E41" s="979">
        <f>IF(D41="s",$C41,IF(D42="s",$C42,IF(D43="s",$C43,IF(D44="s",$C44,IF(D42=0,"0")))))</f>
        <v>3</v>
      </c>
      <c r="F41" s="389"/>
      <c r="G41" s="979">
        <f>IF(F41="s",$C41,IF(F42="s",$C42,IF(F43="s",$C43,IF(F44="s",$C44,IF(F42=0,"0")))))</f>
        <v>2</v>
      </c>
      <c r="H41" s="389" t="s">
        <v>108</v>
      </c>
      <c r="I41" s="979">
        <f>IF(H41="s",$C41,IF(H42="s",$C42,IF(H43="s",$C43,IF(H44="s",$C44,IF(H42=0,"0")))))</f>
        <v>3</v>
      </c>
      <c r="J41" s="389"/>
      <c r="K41" s="979">
        <f>IF(J41="s",$C41,IF(J42="s",$C42,IF(J43="s",$C43,IF(J44="s",$C44,IF(J42=0,"0")))))</f>
        <v>1</v>
      </c>
      <c r="L41" s="389"/>
      <c r="M41" s="979">
        <f>IF(L41="s",$C41,IF(L42="s",$C42,IF(L43="s",$C43,IF(L44="s",$C44,IF(L42=0,"0")))))</f>
        <v>2</v>
      </c>
      <c r="N41" s="389"/>
      <c r="O41" s="979">
        <f>IF(N41="s",$C41,IF(N42="s",$C42,IF(N43="s",$C43,IF(N44="s",$C44,IF(N42=0,"0")))))</f>
        <v>2</v>
      </c>
      <c r="P41" s="389"/>
      <c r="Q41" s="979">
        <f>IF(P41="s",$C41,IF(P42="s",$C42,IF(P43="s",$C43,IF(P44="s",$C44,IF(P42=0,"0")))))</f>
        <v>1</v>
      </c>
    </row>
    <row r="42" spans="1:17" x14ac:dyDescent="0.25">
      <c r="A42" s="107">
        <v>3</v>
      </c>
      <c r="B42" s="391" t="s">
        <v>628</v>
      </c>
      <c r="C42" s="388">
        <v>2</v>
      </c>
      <c r="D42" s="382"/>
      <c r="E42" s="980"/>
      <c r="F42" s="382" t="s">
        <v>108</v>
      </c>
      <c r="G42" s="980"/>
      <c r="H42" s="382"/>
      <c r="I42" s="980"/>
      <c r="J42" s="382"/>
      <c r="K42" s="980"/>
      <c r="L42" s="382" t="s">
        <v>108</v>
      </c>
      <c r="M42" s="980"/>
      <c r="N42" s="382" t="s">
        <v>108</v>
      </c>
      <c r="O42" s="980"/>
      <c r="P42" s="382"/>
      <c r="Q42" s="980"/>
    </row>
    <row r="43" spans="1:17" x14ac:dyDescent="0.25">
      <c r="A43" s="107"/>
      <c r="B43" s="391" t="s">
        <v>629</v>
      </c>
      <c r="C43" s="127">
        <v>1</v>
      </c>
      <c r="D43" s="382"/>
      <c r="E43" s="980"/>
      <c r="F43" s="382"/>
      <c r="G43" s="980"/>
      <c r="H43" s="382"/>
      <c r="I43" s="980"/>
      <c r="J43" s="382" t="s">
        <v>108</v>
      </c>
      <c r="K43" s="980"/>
      <c r="L43" s="382"/>
      <c r="M43" s="980"/>
      <c r="N43" s="382"/>
      <c r="O43" s="980"/>
      <c r="P43" s="382" t="s">
        <v>108</v>
      </c>
      <c r="Q43" s="980"/>
    </row>
    <row r="44" spans="1:17" x14ac:dyDescent="0.25">
      <c r="A44" s="107"/>
      <c r="B44" s="391" t="s">
        <v>630</v>
      </c>
      <c r="C44" s="127">
        <v>0</v>
      </c>
      <c r="D44" s="382"/>
      <c r="E44" s="981"/>
      <c r="F44" s="382"/>
      <c r="G44" s="981"/>
      <c r="H44" s="382"/>
      <c r="I44" s="981"/>
      <c r="J44" s="382"/>
      <c r="K44" s="981"/>
      <c r="L44" s="382"/>
      <c r="M44" s="981"/>
      <c r="N44" s="382"/>
      <c r="O44" s="981"/>
      <c r="P44" s="382"/>
      <c r="Q44" s="981"/>
    </row>
    <row r="45" spans="1:17" x14ac:dyDescent="0.25">
      <c r="A45" s="275" t="s">
        <v>569</v>
      </c>
      <c r="B45" s="245" t="s">
        <v>85</v>
      </c>
      <c r="C45" s="182">
        <v>3</v>
      </c>
      <c r="D45" s="387" t="s">
        <v>108</v>
      </c>
      <c r="E45" s="976">
        <f>IF(D45="s",$C45,IF(D46="s",$C46,IF(D47="s",$C4,IF(D46=0,"0"))))</f>
        <v>3</v>
      </c>
      <c r="F45" s="387" t="s">
        <v>108</v>
      </c>
      <c r="G45" s="976">
        <f>IF(F45="s",$C45,IF(F46="s",$C46,IF(F47="s",$C4,IF(F46=0,"0"))))</f>
        <v>3</v>
      </c>
      <c r="H45" s="387" t="s">
        <v>108</v>
      </c>
      <c r="I45" s="976">
        <f>IF(H45="s",$C45,IF(H46="s",$C46,IF(H47="s",$C4,IF(H46=0,"0"))))</f>
        <v>3</v>
      </c>
      <c r="J45" s="387" t="s">
        <v>108</v>
      </c>
      <c r="K45" s="976">
        <f>IF(J45="s",$C45,IF(J46="s",$C46,IF(J47="s",$C4,IF(J46=0,"0"))))</f>
        <v>3</v>
      </c>
      <c r="L45" s="387" t="s">
        <v>108</v>
      </c>
      <c r="M45" s="976">
        <f>IF(L45="s",$C45,IF(L46="s",$C46,IF(L47="s",$C4,IF(L46=0,"0"))))</f>
        <v>3</v>
      </c>
      <c r="N45" s="387"/>
      <c r="O45" s="976">
        <f>IF(N45="s",$C45,IF(N46="s",$C46,IF(N47="s",$C4,IF(N46=0,"0"))))</f>
        <v>1</v>
      </c>
      <c r="P45" s="387" t="s">
        <v>108</v>
      </c>
      <c r="Q45" s="976">
        <f>IF(P45="s",$C45,IF(P46="s",$C46,IF(P47="s",$C4,IF(P46=0,"0"))))</f>
        <v>3</v>
      </c>
    </row>
    <row r="46" spans="1:17" x14ac:dyDescent="0.25">
      <c r="A46" s="248">
        <v>3</v>
      </c>
      <c r="B46" s="245" t="s">
        <v>86</v>
      </c>
      <c r="C46" s="182">
        <v>1</v>
      </c>
      <c r="D46" s="387"/>
      <c r="E46" s="977"/>
      <c r="F46" s="387"/>
      <c r="G46" s="977"/>
      <c r="H46" s="387"/>
      <c r="I46" s="977"/>
      <c r="J46" s="387"/>
      <c r="K46" s="977"/>
      <c r="L46" s="387"/>
      <c r="M46" s="977"/>
      <c r="N46" s="387" t="s">
        <v>108</v>
      </c>
      <c r="O46" s="977"/>
      <c r="P46" s="387"/>
      <c r="Q46" s="977"/>
    </row>
    <row r="47" spans="1:17" x14ac:dyDescent="0.25">
      <c r="A47" s="277"/>
      <c r="B47" s="245" t="s">
        <v>232</v>
      </c>
      <c r="C47" s="182">
        <v>0</v>
      </c>
      <c r="D47" s="387"/>
      <c r="E47" s="978"/>
      <c r="F47" s="387"/>
      <c r="G47" s="978"/>
      <c r="H47" s="387"/>
      <c r="I47" s="978"/>
      <c r="J47" s="387"/>
      <c r="K47" s="978"/>
      <c r="L47" s="387"/>
      <c r="M47" s="978"/>
      <c r="N47" s="387"/>
      <c r="O47" s="978"/>
      <c r="P47" s="387"/>
      <c r="Q47" s="978"/>
    </row>
    <row r="48" spans="1:17" x14ac:dyDescent="0.25">
      <c r="A48" s="285" t="s">
        <v>570</v>
      </c>
      <c r="B48" s="282" t="s">
        <v>87</v>
      </c>
      <c r="C48" s="280">
        <v>3</v>
      </c>
      <c r="D48" s="383" t="s">
        <v>108</v>
      </c>
      <c r="E48" s="979">
        <f>IF(D48="s",$C48,IF(D49="s",$C49,IF(D50="s",$C50,IF(D51="s",$C51,IF(D49=0,"0")))))</f>
        <v>3</v>
      </c>
      <c r="F48" s="383" t="s">
        <v>108</v>
      </c>
      <c r="G48" s="979">
        <f>IF(F48="s",$C48,IF(F49="s",$C49,IF(F50="s",$C50,IF(F51="s",$C51,IF(F49=0,"0")))))</f>
        <v>3</v>
      </c>
      <c r="H48" s="383" t="s">
        <v>108</v>
      </c>
      <c r="I48" s="979">
        <f>IF(H48="s",$C48,IF(H49="s",$C49,IF(H50="s",$C50,IF(H51="s",$C51,IF(H49=0,"0")))))</f>
        <v>3</v>
      </c>
      <c r="J48" s="383" t="s">
        <v>108</v>
      </c>
      <c r="K48" s="979">
        <f>IF(J48="s",$C48,IF(J49="s",$C49,IF(J50="s",$C50,IF(J51="s",$C51,IF(J49=0,"0")))))</f>
        <v>3</v>
      </c>
      <c r="L48" s="383" t="s">
        <v>108</v>
      </c>
      <c r="M48" s="979">
        <f>IF(L48="s",$C48,IF(L49="s",$C49,IF(L50="s",$C50,IF(L51="s",$C51,IF(L49=0,"0")))))</f>
        <v>3</v>
      </c>
      <c r="N48" s="383"/>
      <c r="O48" s="979">
        <f>IF(N48="s",$C48,IF(N49="s",$C49,IF(N50="s",$C50,IF(N51="s",$C51,IF(N49=0,"0")))))</f>
        <v>1</v>
      </c>
      <c r="P48" s="383" t="s">
        <v>108</v>
      </c>
      <c r="Q48" s="979">
        <f>IF(P48="s",$C48,IF(P49="s",$C49,IF(P50="s",$C50,IF(P51="s",$C51,IF(P49=0,"0")))))</f>
        <v>3</v>
      </c>
    </row>
    <row r="49" spans="1:17" x14ac:dyDescent="0.25">
      <c r="A49" s="107">
        <v>3</v>
      </c>
      <c r="B49" s="75" t="s">
        <v>88</v>
      </c>
      <c r="C49" s="76">
        <v>2</v>
      </c>
      <c r="D49" s="389"/>
      <c r="E49" s="980"/>
      <c r="F49" s="389"/>
      <c r="G49" s="980"/>
      <c r="H49" s="389"/>
      <c r="I49" s="980"/>
      <c r="J49" s="389"/>
      <c r="K49" s="980"/>
      <c r="L49" s="389"/>
      <c r="M49" s="980"/>
      <c r="N49" s="389"/>
      <c r="O49" s="980"/>
      <c r="P49" s="389"/>
      <c r="Q49" s="980"/>
    </row>
    <row r="50" spans="1:17" x14ac:dyDescent="0.25">
      <c r="A50" s="286"/>
      <c r="B50" s="75" t="s">
        <v>89</v>
      </c>
      <c r="C50" s="127">
        <v>1</v>
      </c>
      <c r="D50" s="389"/>
      <c r="E50" s="980"/>
      <c r="F50" s="389"/>
      <c r="G50" s="980"/>
      <c r="H50" s="389"/>
      <c r="I50" s="980"/>
      <c r="J50" s="389"/>
      <c r="K50" s="980"/>
      <c r="L50" s="389"/>
      <c r="M50" s="980"/>
      <c r="N50" s="389" t="s">
        <v>108</v>
      </c>
      <c r="O50" s="980"/>
      <c r="P50" s="389"/>
      <c r="Q50" s="980"/>
    </row>
    <row r="51" spans="1:17" x14ac:dyDescent="0.25">
      <c r="A51" s="287"/>
      <c r="B51" s="75" t="s">
        <v>90</v>
      </c>
      <c r="C51" s="127">
        <v>0</v>
      </c>
      <c r="D51" s="389"/>
      <c r="E51" s="981"/>
      <c r="F51" s="389"/>
      <c r="G51" s="981"/>
      <c r="H51" s="389"/>
      <c r="I51" s="981"/>
      <c r="J51" s="389"/>
      <c r="K51" s="981"/>
      <c r="L51" s="389"/>
      <c r="M51" s="981"/>
      <c r="N51" s="389"/>
      <c r="O51" s="981"/>
      <c r="P51" s="389"/>
      <c r="Q51" s="981"/>
    </row>
    <row r="52" spans="1:17" x14ac:dyDescent="0.25">
      <c r="A52" s="96">
        <f>SUM(A3:A51)</f>
        <v>45</v>
      </c>
      <c r="B52" s="91"/>
      <c r="C52" s="92"/>
      <c r="D52" s="92"/>
      <c r="E52" s="125">
        <f>SUM(E3:E51)</f>
        <v>25</v>
      </c>
      <c r="F52" s="92"/>
      <c r="G52" s="125">
        <f>SUM(G3:G51)</f>
        <v>21</v>
      </c>
      <c r="H52" s="92"/>
      <c r="I52" s="125">
        <f>SUM(I3:I51)</f>
        <v>30</v>
      </c>
      <c r="J52" s="92"/>
      <c r="K52" s="125">
        <f>SUM(K3:K51)</f>
        <v>36</v>
      </c>
      <c r="L52" s="92"/>
      <c r="M52" s="125">
        <f>SUM(M3:M51)</f>
        <v>31</v>
      </c>
      <c r="N52" s="92"/>
      <c r="O52" s="125">
        <f>SUM(O3:O48)</f>
        <v>22</v>
      </c>
      <c r="P52" s="92"/>
      <c r="Q52" s="125">
        <f>SUM(Q3:Q51)</f>
        <v>30</v>
      </c>
    </row>
    <row r="54" spans="1:17" x14ac:dyDescent="0.25">
      <c r="D54" s="304" t="s">
        <v>590</v>
      </c>
      <c r="F54" s="304" t="s">
        <v>590</v>
      </c>
      <c r="H54" s="304" t="s">
        <v>590</v>
      </c>
      <c r="J54" s="304" t="s">
        <v>590</v>
      </c>
      <c r="L54" s="304" t="s">
        <v>590</v>
      </c>
      <c r="N54" s="304" t="s">
        <v>590</v>
      </c>
      <c r="P54" s="304" t="s">
        <v>590</v>
      </c>
    </row>
    <row r="55" spans="1:17" x14ac:dyDescent="0.25">
      <c r="A55" s="192" t="s">
        <v>579</v>
      </c>
      <c r="B55" s="301"/>
      <c r="C55" s="302"/>
      <c r="D55" s="304">
        <v>8</v>
      </c>
      <c r="F55" s="75"/>
      <c r="H55" s="304">
        <v>8</v>
      </c>
      <c r="J55" s="304">
        <v>10</v>
      </c>
      <c r="L55" s="13"/>
      <c r="N55" s="304">
        <v>37</v>
      </c>
      <c r="P55" s="13"/>
    </row>
    <row r="56" spans="1:17" x14ac:dyDescent="0.25">
      <c r="A56" s="192" t="s">
        <v>584</v>
      </c>
      <c r="B56" s="301"/>
      <c r="C56" s="302"/>
      <c r="D56" s="76">
        <v>822</v>
      </c>
      <c r="E56" s="27"/>
      <c r="F56" s="76">
        <f>((32*15)-4)+(28*8)</f>
        <v>700</v>
      </c>
      <c r="G56" s="27"/>
      <c r="H56" s="304">
        <v>697</v>
      </c>
      <c r="J56" s="304">
        <v>709</v>
      </c>
      <c r="L56" s="304">
        <v>656</v>
      </c>
      <c r="N56" s="304">
        <v>814</v>
      </c>
      <c r="P56" s="304">
        <v>734</v>
      </c>
    </row>
    <row r="57" spans="1:17" ht="14.4" x14ac:dyDescent="0.3">
      <c r="A57" s="192" t="s">
        <v>585</v>
      </c>
      <c r="B57" s="321"/>
      <c r="C57" s="322"/>
      <c r="D57" s="319">
        <v>0</v>
      </c>
      <c r="E57" s="27"/>
      <c r="F57" s="76">
        <f>10*11</f>
        <v>110</v>
      </c>
      <c r="G57" s="27"/>
      <c r="H57" s="304">
        <v>117</v>
      </c>
      <c r="J57" s="304">
        <v>116</v>
      </c>
      <c r="L57" s="304">
        <v>118</v>
      </c>
      <c r="N57" s="304"/>
      <c r="P57" s="304">
        <v>117</v>
      </c>
    </row>
    <row r="58" spans="1:17" x14ac:dyDescent="0.25">
      <c r="A58" s="323" t="s">
        <v>580</v>
      </c>
      <c r="B58" s="324"/>
      <c r="C58" s="325"/>
      <c r="D58" s="320">
        <f>SUM(D55:D57)</f>
        <v>830</v>
      </c>
      <c r="E58" s="27"/>
      <c r="F58" s="320">
        <f>SUM(F55:F57)</f>
        <v>810</v>
      </c>
      <c r="G58" s="27"/>
      <c r="H58" s="320">
        <f>SUM(H55:H57)</f>
        <v>822</v>
      </c>
      <c r="J58" s="320">
        <f>SUM(J55:J57)</f>
        <v>835</v>
      </c>
      <c r="L58" s="320">
        <f>SUM(L55:L57)</f>
        <v>774</v>
      </c>
      <c r="N58" s="320">
        <f>SUM(N55:N57)</f>
        <v>851</v>
      </c>
      <c r="P58" s="320">
        <f>SUM(P55:P57)</f>
        <v>851</v>
      </c>
    </row>
    <row r="59" spans="1:17" ht="14.4" x14ac:dyDescent="0.3">
      <c r="A59" s="326" t="s">
        <v>581</v>
      </c>
      <c r="B59" s="327" t="s">
        <v>589</v>
      </c>
      <c r="C59" s="302"/>
      <c r="D59" s="304">
        <f>D58-$N$56</f>
        <v>16</v>
      </c>
      <c r="E59" s="27"/>
      <c r="F59" s="304">
        <f>F58-$N$56</f>
        <v>-4</v>
      </c>
      <c r="G59" s="27"/>
      <c r="H59" s="304">
        <f>H58-$N$56</f>
        <v>8</v>
      </c>
      <c r="J59" s="304">
        <f>J58-$N$56</f>
        <v>21</v>
      </c>
      <c r="L59" s="304">
        <f>L58-$N$56</f>
        <v>-40</v>
      </c>
      <c r="N59" s="304">
        <f>N58-$N$56</f>
        <v>37</v>
      </c>
      <c r="P59" s="304">
        <f>P58-$N$56</f>
        <v>37</v>
      </c>
    </row>
    <row r="60" spans="1:17" ht="14.4" hidden="1" x14ac:dyDescent="0.3">
      <c r="A60" s="118"/>
      <c r="B60" s="118" t="s">
        <v>621</v>
      </c>
      <c r="D60" s="309">
        <f>D59*'Lote 1'!D8</f>
        <v>4555.9322033898306</v>
      </c>
      <c r="F60" s="309">
        <f>F59*'Lote 1'!D8</f>
        <v>-1138.9830508474577</v>
      </c>
      <c r="H60" s="309">
        <f>H59*'Lote 1'!D8</f>
        <v>2277.9661016949153</v>
      </c>
      <c r="J60" s="309">
        <f>J59*'Lote 1'!D8</f>
        <v>5979.6610169491523</v>
      </c>
      <c r="L60" s="309">
        <f>L59*'Lote 1'!D8</f>
        <v>-11389.830508474577</v>
      </c>
      <c r="N60" s="309">
        <f>N59*'Lote 1'!D8</f>
        <v>10535.593220338984</v>
      </c>
      <c r="P60" s="309">
        <f>P59*'Lote 1'!D8</f>
        <v>10535.593220338984</v>
      </c>
    </row>
    <row r="61" spans="1:17" hidden="1" x14ac:dyDescent="0.25">
      <c r="B61" t="s">
        <v>622</v>
      </c>
      <c r="D61" s="381">
        <f>D60/Empresas!$D23</f>
        <v>0.98280098639435254</v>
      </c>
      <c r="F61" s="381">
        <f>F60/Empresas!$D23</f>
        <v>-0.24570024659858813</v>
      </c>
      <c r="H61" s="381">
        <f>H60/Empresas!$D23</f>
        <v>0.49140049319717627</v>
      </c>
      <c r="J61" s="381">
        <f>J60/Empresas!$D23</f>
        <v>1.2899262946425876</v>
      </c>
      <c r="L61" s="381">
        <f>L60/Empresas!$D23</f>
        <v>-2.4570024659858816</v>
      </c>
      <c r="N61" s="381">
        <f>N60/Empresas!$D23</f>
        <v>2.2727272810369401</v>
      </c>
      <c r="P61" s="381">
        <f>P60/Empresas!$D23</f>
        <v>2.2727272810369401</v>
      </c>
    </row>
    <row r="62" spans="1:17" hidden="1" x14ac:dyDescent="0.25"/>
    <row r="63" spans="1:17" hidden="1" x14ac:dyDescent="0.25"/>
    <row r="64" spans="1:17" hidden="1" x14ac:dyDescent="0.25"/>
    <row r="65" spans="2:11" hidden="1" x14ac:dyDescent="0.25"/>
    <row r="66" spans="2:11" ht="14.4" hidden="1" x14ac:dyDescent="0.3">
      <c r="B66" s="118" t="s">
        <v>209</v>
      </c>
      <c r="C66" s="917" t="s">
        <v>784</v>
      </c>
      <c r="E66" s="917"/>
      <c r="F66" s="917"/>
      <c r="G66" s="917"/>
      <c r="I66" s="917" t="s">
        <v>210</v>
      </c>
      <c r="J66" s="917"/>
      <c r="K66" s="917"/>
    </row>
    <row r="67" spans="2:11" hidden="1" x14ac:dyDescent="0.25"/>
    <row r="68" spans="2:11" hidden="1" x14ac:dyDescent="0.25"/>
    <row r="69" spans="2:11" hidden="1" x14ac:dyDescent="0.25"/>
    <row r="70" spans="2:11" ht="14.4" hidden="1" x14ac:dyDescent="0.3">
      <c r="B70" s="118" t="s">
        <v>785</v>
      </c>
      <c r="C70" s="917" t="s">
        <v>786</v>
      </c>
      <c r="D70" s="917"/>
      <c r="E70" s="917"/>
      <c r="F70" s="917"/>
      <c r="G70" s="917"/>
      <c r="I70" s="917" t="s">
        <v>787</v>
      </c>
      <c r="J70" s="917"/>
    </row>
    <row r="71" spans="2:11" hidden="1" x14ac:dyDescent="0.25"/>
    <row r="74" spans="2:11" ht="14.4" x14ac:dyDescent="0.3">
      <c r="E74" s="917"/>
      <c r="F74" s="917"/>
      <c r="G74" s="917"/>
      <c r="H74" s="917"/>
      <c r="I74" s="917"/>
      <c r="J74" s="917"/>
      <c r="K74" s="917"/>
    </row>
  </sheetData>
  <mergeCells count="196">
    <mergeCell ref="Q45:Q47"/>
    <mergeCell ref="G20:G22"/>
    <mergeCell ref="D35:D37"/>
    <mergeCell ref="F35:F37"/>
    <mergeCell ref="G35:G37"/>
    <mergeCell ref="H35:H37"/>
    <mergeCell ref="I35:I37"/>
    <mergeCell ref="I26:I28"/>
    <mergeCell ref="D29:D31"/>
    <mergeCell ref="E29:E31"/>
    <mergeCell ref="F29:F31"/>
    <mergeCell ref="H29:H31"/>
    <mergeCell ref="G29:G31"/>
    <mergeCell ref="I29:I31"/>
    <mergeCell ref="J35:J37"/>
    <mergeCell ref="K35:K37"/>
    <mergeCell ref="L35:L37"/>
    <mergeCell ref="E35:E37"/>
    <mergeCell ref="E38:E40"/>
    <mergeCell ref="G38:G40"/>
    <mergeCell ref="I38:I40"/>
    <mergeCell ref="K38:K40"/>
    <mergeCell ref="Q41:Q44"/>
    <mergeCell ref="M29:M31"/>
    <mergeCell ref="Q48:Q51"/>
    <mergeCell ref="D1:E1"/>
    <mergeCell ref="G11:G13"/>
    <mergeCell ref="G23:G25"/>
    <mergeCell ref="D26:D28"/>
    <mergeCell ref="E26:E28"/>
    <mergeCell ref="F26:F28"/>
    <mergeCell ref="D11:D13"/>
    <mergeCell ref="E11:E13"/>
    <mergeCell ref="F11:F13"/>
    <mergeCell ref="D23:D25"/>
    <mergeCell ref="E23:E25"/>
    <mergeCell ref="F23:F25"/>
    <mergeCell ref="G26:G28"/>
    <mergeCell ref="F1:G1"/>
    <mergeCell ref="D5:D6"/>
    <mergeCell ref="E5:E6"/>
    <mergeCell ref="F5:F6"/>
    <mergeCell ref="G5:G6"/>
    <mergeCell ref="D3:D4"/>
    <mergeCell ref="E3:E4"/>
    <mergeCell ref="D20:D22"/>
    <mergeCell ref="E20:E22"/>
    <mergeCell ref="F20:F22"/>
    <mergeCell ref="H1:I1"/>
    <mergeCell ref="H11:H13"/>
    <mergeCell ref="I11:I13"/>
    <mergeCell ref="H23:H25"/>
    <mergeCell ref="I23:I25"/>
    <mergeCell ref="J26:J28"/>
    <mergeCell ref="K26:K28"/>
    <mergeCell ref="J1:K1"/>
    <mergeCell ref="H5:H6"/>
    <mergeCell ref="I5:I6"/>
    <mergeCell ref="I14:I16"/>
    <mergeCell ref="H20:H22"/>
    <mergeCell ref="I20:I22"/>
    <mergeCell ref="J20:J22"/>
    <mergeCell ref="K20:K22"/>
    <mergeCell ref="H17:H19"/>
    <mergeCell ref="I17:I19"/>
    <mergeCell ref="J17:J19"/>
    <mergeCell ref="K17:K19"/>
    <mergeCell ref="H7:H10"/>
    <mergeCell ref="I7:I10"/>
    <mergeCell ref="J7:J10"/>
    <mergeCell ref="K7:K10"/>
    <mergeCell ref="H26:H28"/>
    <mergeCell ref="L1:M1"/>
    <mergeCell ref="L11:L13"/>
    <mergeCell ref="M11:M13"/>
    <mergeCell ref="L23:L25"/>
    <mergeCell ref="M23:M25"/>
    <mergeCell ref="J11:J13"/>
    <mergeCell ref="K11:K13"/>
    <mergeCell ref="J23:J25"/>
    <mergeCell ref="K23:K25"/>
    <mergeCell ref="J5:J6"/>
    <mergeCell ref="K5:K6"/>
    <mergeCell ref="L5:L6"/>
    <mergeCell ref="J14:J16"/>
    <mergeCell ref="K14:K16"/>
    <mergeCell ref="L14:L16"/>
    <mergeCell ref="M20:M22"/>
    <mergeCell ref="J3:J4"/>
    <mergeCell ref="K3:K4"/>
    <mergeCell ref="M7:M10"/>
    <mergeCell ref="L3:L4"/>
    <mergeCell ref="M3:M4"/>
    <mergeCell ref="N1:O1"/>
    <mergeCell ref="P1:Q1"/>
    <mergeCell ref="N11:N13"/>
    <mergeCell ref="O11:O13"/>
    <mergeCell ref="P11:P13"/>
    <mergeCell ref="Q11:Q13"/>
    <mergeCell ref="N23:N25"/>
    <mergeCell ref="O3:O4"/>
    <mergeCell ref="P3:P4"/>
    <mergeCell ref="Q3:Q4"/>
    <mergeCell ref="O17:O19"/>
    <mergeCell ref="P17:P19"/>
    <mergeCell ref="Q17:Q19"/>
    <mergeCell ref="N20:N22"/>
    <mergeCell ref="O20:O22"/>
    <mergeCell ref="P20:P22"/>
    <mergeCell ref="Q20:Q22"/>
    <mergeCell ref="N7:N10"/>
    <mergeCell ref="P7:P10"/>
    <mergeCell ref="N17:N19"/>
    <mergeCell ref="O7:O10"/>
    <mergeCell ref="Q7:Q10"/>
    <mergeCell ref="O5:O6"/>
    <mergeCell ref="P5:P6"/>
    <mergeCell ref="Q5:Q6"/>
    <mergeCell ref="M26:M28"/>
    <mergeCell ref="M14:M16"/>
    <mergeCell ref="N14:N16"/>
    <mergeCell ref="O14:O16"/>
    <mergeCell ref="P14:P16"/>
    <mergeCell ref="Q14:Q16"/>
    <mergeCell ref="O23:O25"/>
    <mergeCell ref="P23:P25"/>
    <mergeCell ref="Q23:Q25"/>
    <mergeCell ref="N26:N28"/>
    <mergeCell ref="O26:O28"/>
    <mergeCell ref="P26:P28"/>
    <mergeCell ref="Q26:Q28"/>
    <mergeCell ref="F3:F4"/>
    <mergeCell ref="G3:G4"/>
    <mergeCell ref="H3:H4"/>
    <mergeCell ref="I3:I4"/>
    <mergeCell ref="E7:E10"/>
    <mergeCell ref="D7:D10"/>
    <mergeCell ref="N3:N4"/>
    <mergeCell ref="L29:L31"/>
    <mergeCell ref="K29:K31"/>
    <mergeCell ref="L7:L10"/>
    <mergeCell ref="L20:L22"/>
    <mergeCell ref="F17:F19"/>
    <mergeCell ref="G17:G19"/>
    <mergeCell ref="L17:L19"/>
    <mergeCell ref="M17:M19"/>
    <mergeCell ref="M5:M6"/>
    <mergeCell ref="N5:N6"/>
    <mergeCell ref="N29:N31"/>
    <mergeCell ref="L26:L28"/>
    <mergeCell ref="J29:J31"/>
    <mergeCell ref="F7:F10"/>
    <mergeCell ref="G7:G10"/>
    <mergeCell ref="D17:D19"/>
    <mergeCell ref="E17:E19"/>
    <mergeCell ref="D14:D16"/>
    <mergeCell ref="E14:E16"/>
    <mergeCell ref="F14:F16"/>
    <mergeCell ref="G14:G16"/>
    <mergeCell ref="H14:H16"/>
    <mergeCell ref="E32:E34"/>
    <mergeCell ref="G32:G34"/>
    <mergeCell ref="I32:I34"/>
    <mergeCell ref="K32:K34"/>
    <mergeCell ref="O29:O31"/>
    <mergeCell ref="Q29:Q31"/>
    <mergeCell ref="N35:N37"/>
    <mergeCell ref="O35:O37"/>
    <mergeCell ref="P35:P37"/>
    <mergeCell ref="Q35:Q37"/>
    <mergeCell ref="P29:P31"/>
    <mergeCell ref="M35:M37"/>
    <mergeCell ref="M32:M34"/>
    <mergeCell ref="O32:O34"/>
    <mergeCell ref="Q32:Q34"/>
    <mergeCell ref="E48:E51"/>
    <mergeCell ref="G48:G51"/>
    <mergeCell ref="I48:I51"/>
    <mergeCell ref="K48:K51"/>
    <mergeCell ref="G45:G47"/>
    <mergeCell ref="I45:I47"/>
    <mergeCell ref="K45:K47"/>
    <mergeCell ref="M45:M47"/>
    <mergeCell ref="O45:O47"/>
    <mergeCell ref="M48:M51"/>
    <mergeCell ref="O48:O51"/>
    <mergeCell ref="E45:E47"/>
    <mergeCell ref="M38:M40"/>
    <mergeCell ref="O38:O40"/>
    <mergeCell ref="Q38:Q40"/>
    <mergeCell ref="E41:E44"/>
    <mergeCell ref="G41:G44"/>
    <mergeCell ref="I41:I44"/>
    <mergeCell ref="K41:K44"/>
    <mergeCell ref="M41:M44"/>
    <mergeCell ref="O41:O44"/>
  </mergeCells>
  <phoneticPr fontId="33" type="noConversion"/>
  <printOptions horizontalCentered="1" verticalCentered="1"/>
  <pageMargins left="0.78740157480314965" right="0.78740157480314965" top="0.78740157480314965" bottom="0.39370078740157483" header="0.39370078740157483" footer="0"/>
  <pageSetup paperSize="9" scale="66" orientation="landscape" horizontalDpi="300" verticalDpi="300" r:id="rId1"/>
  <headerFooter alignWithMargins="0">
    <oddHeader>&amp;L&amp;"Arial,Negrita"&amp;12ANEXO I&amp;CLOTE 1: Butacas Salón de Actos&amp;R
Página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opLeftCell="A21" workbookViewId="0">
      <selection activeCell="M53" sqref="M53"/>
    </sheetView>
  </sheetViews>
  <sheetFormatPr baseColWidth="10" defaultRowHeight="13.2" x14ac:dyDescent="0.25"/>
  <cols>
    <col min="1" max="1" width="9.109375" customWidth="1"/>
    <col min="2" max="2" width="45.5546875" customWidth="1"/>
    <col min="3" max="3" width="10" customWidth="1"/>
    <col min="4" max="4" width="11.6640625" customWidth="1"/>
    <col min="5" max="5" width="12.6640625" customWidth="1"/>
    <col min="6" max="6" width="11.5546875" customWidth="1"/>
    <col min="7" max="7" width="11" customWidth="1"/>
    <col min="8" max="8" width="10.5546875" customWidth="1"/>
    <col min="9" max="9" width="12.88671875" bestFit="1" customWidth="1"/>
    <col min="10" max="10" width="11.33203125" bestFit="1" customWidth="1"/>
    <col min="11" max="11" width="10.33203125" bestFit="1" customWidth="1"/>
    <col min="12" max="12" width="13" customWidth="1"/>
    <col min="13" max="13" width="11.5546875" customWidth="1"/>
    <col min="14" max="17" width="11.33203125" customWidth="1"/>
    <col min="18" max="18" width="12.5546875" customWidth="1"/>
    <col min="19" max="19" width="10" customWidth="1"/>
    <col min="20" max="20" width="11.88671875" customWidth="1"/>
    <col min="21" max="21" width="11.5546875" bestFit="1" customWidth="1"/>
  </cols>
  <sheetData>
    <row r="1" spans="1:21" x14ac:dyDescent="0.25">
      <c r="A1" s="1000" t="s">
        <v>8</v>
      </c>
      <c r="B1" s="1000"/>
      <c r="C1" s="1000"/>
      <c r="D1" s="1000"/>
      <c r="E1" s="1000"/>
      <c r="F1" s="1000"/>
      <c r="G1" s="1000"/>
      <c r="H1" s="140"/>
    </row>
    <row r="2" spans="1:21" ht="13.8" thickBot="1" x14ac:dyDescent="0.3">
      <c r="A2" s="30" t="s">
        <v>236</v>
      </c>
      <c r="B2" s="46"/>
      <c r="C2" s="46"/>
      <c r="D2" s="46"/>
      <c r="E2" s="46"/>
      <c r="F2" s="46"/>
      <c r="G2" s="48"/>
      <c r="H2" s="153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1" x14ac:dyDescent="0.25">
      <c r="A3" s="48"/>
      <c r="B3" s="48"/>
      <c r="C3" s="48"/>
      <c r="D3" s="48"/>
      <c r="E3" s="48"/>
      <c r="F3" s="48"/>
      <c r="G3" s="48"/>
      <c r="H3" s="48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1" ht="13.8" x14ac:dyDescent="0.25">
      <c r="A4" s="1001"/>
      <c r="B4" s="1002"/>
      <c r="C4" s="1002"/>
      <c r="D4" s="1002"/>
      <c r="E4" s="141"/>
      <c r="F4" s="49"/>
      <c r="G4" s="49"/>
      <c r="H4" s="49"/>
      <c r="I4" s="47"/>
      <c r="J4" s="47"/>
      <c r="K4" s="102"/>
      <c r="L4" s="103"/>
      <c r="M4" s="47"/>
      <c r="N4" s="47"/>
      <c r="O4" s="47"/>
      <c r="P4" s="47"/>
      <c r="Q4" s="47"/>
      <c r="R4" s="47"/>
      <c r="S4" s="47"/>
      <c r="T4" s="47"/>
    </row>
    <row r="5" spans="1:21" x14ac:dyDescent="0.25">
      <c r="A5" s="50" t="str">
        <f>Empresas!A26</f>
        <v>LOTE 2: SILLERÍA</v>
      </c>
      <c r="B5" s="50"/>
      <c r="C5" s="50" t="s">
        <v>0</v>
      </c>
      <c r="D5" s="51"/>
      <c r="E5" s="52">
        <f>SUM(E7:E10)</f>
        <v>171378.81402203388</v>
      </c>
      <c r="G5" s="53" t="s">
        <v>1</v>
      </c>
      <c r="H5" s="54">
        <v>45</v>
      </c>
      <c r="J5" s="47"/>
      <c r="K5" s="102"/>
      <c r="L5" s="103"/>
      <c r="M5" s="47"/>
      <c r="N5" s="47"/>
      <c r="O5" s="47"/>
      <c r="P5" s="47"/>
      <c r="Q5" s="47"/>
      <c r="R5" s="47"/>
    </row>
    <row r="6" spans="1:21" ht="26.4" x14ac:dyDescent="0.25">
      <c r="A6" s="152" t="s">
        <v>37</v>
      </c>
      <c r="B6" s="152" t="s">
        <v>38</v>
      </c>
      <c r="C6" s="55" t="s">
        <v>39</v>
      </c>
      <c r="D6" s="56" t="s">
        <v>2</v>
      </c>
      <c r="E6" s="57" t="s">
        <v>3</v>
      </c>
      <c r="F6" s="57" t="s">
        <v>4</v>
      </c>
      <c r="H6" s="50"/>
      <c r="I6" s="47"/>
      <c r="J6" s="47"/>
      <c r="M6" s="47"/>
    </row>
    <row r="7" spans="1:21" ht="26.4" x14ac:dyDescent="0.25">
      <c r="A7" s="147" t="s">
        <v>40</v>
      </c>
      <c r="B7" s="147" t="s">
        <v>246</v>
      </c>
      <c r="C7" s="151">
        <v>101</v>
      </c>
      <c r="D7" s="59">
        <v>670.84469999999999</v>
      </c>
      <c r="E7" s="60">
        <f t="shared" ref="E7:E13" si="0">C7*D7</f>
        <v>67755.314700000003</v>
      </c>
      <c r="F7" s="61">
        <f t="shared" ref="F7:F13" si="1">((E7*100)/$E$14)</f>
        <v>38.014816142511165</v>
      </c>
      <c r="H7" s="50"/>
      <c r="I7" s="47"/>
      <c r="J7" s="47"/>
      <c r="M7" s="47"/>
      <c r="U7" s="21"/>
    </row>
    <row r="8" spans="1:21" ht="13.5" customHeight="1" x14ac:dyDescent="0.25">
      <c r="A8" s="147" t="s">
        <v>247</v>
      </c>
      <c r="B8" s="58" t="s">
        <v>248</v>
      </c>
      <c r="C8" s="151">
        <v>20</v>
      </c>
      <c r="D8" s="59">
        <f>225/1.18</f>
        <v>190.67796610169492</v>
      </c>
      <c r="E8" s="60">
        <f t="shared" si="0"/>
        <v>3813.5593220338983</v>
      </c>
      <c r="F8" s="61">
        <f t="shared" si="1"/>
        <v>2.1396366782084795</v>
      </c>
      <c r="H8" s="50"/>
      <c r="I8" s="47"/>
      <c r="J8" s="47"/>
      <c r="M8" s="47"/>
      <c r="U8" s="21"/>
    </row>
    <row r="9" spans="1:21" x14ac:dyDescent="0.25">
      <c r="A9" s="147" t="s">
        <v>249</v>
      </c>
      <c r="B9" s="58" t="s">
        <v>317</v>
      </c>
      <c r="C9" s="151">
        <v>280</v>
      </c>
      <c r="D9" s="59">
        <v>178.23</v>
      </c>
      <c r="E9" s="60">
        <f t="shared" si="0"/>
        <v>49904.399999999994</v>
      </c>
      <c r="F9" s="61">
        <f t="shared" si="1"/>
        <v>27.999376862201093</v>
      </c>
      <c r="H9" s="50"/>
      <c r="I9" s="47"/>
      <c r="J9" s="47"/>
      <c r="M9" s="47"/>
      <c r="N9" s="47"/>
      <c r="O9" s="47"/>
      <c r="P9" s="47"/>
      <c r="Q9" s="47"/>
      <c r="R9" s="47"/>
      <c r="T9" s="21"/>
      <c r="U9" s="21"/>
    </row>
    <row r="10" spans="1:21" x14ac:dyDescent="0.25">
      <c r="A10" s="147" t="s">
        <v>250</v>
      </c>
      <c r="B10" s="147" t="s">
        <v>251</v>
      </c>
      <c r="C10" s="151">
        <v>153</v>
      </c>
      <c r="D10" s="59">
        <v>326.18</v>
      </c>
      <c r="E10" s="60">
        <f t="shared" si="0"/>
        <v>49905.54</v>
      </c>
      <c r="F10" s="61">
        <f t="shared" si="1"/>
        <v>28.000016470925438</v>
      </c>
      <c r="H10" s="50"/>
      <c r="I10" s="47"/>
      <c r="J10" s="102"/>
      <c r="M10" s="47"/>
      <c r="N10" s="103"/>
      <c r="O10" s="47"/>
      <c r="P10" s="47"/>
      <c r="Q10" s="47"/>
      <c r="R10" s="47"/>
      <c r="T10" s="21"/>
      <c r="U10" s="21"/>
    </row>
    <row r="11" spans="1:21" x14ac:dyDescent="0.25">
      <c r="A11" s="147"/>
      <c r="B11" s="436" t="s">
        <v>354</v>
      </c>
      <c r="C11" s="436">
        <v>1</v>
      </c>
      <c r="D11" s="9">
        <f>E5/100</f>
        <v>1713.7881402203388</v>
      </c>
      <c r="E11" s="60">
        <f t="shared" si="0"/>
        <v>1713.7881402203388</v>
      </c>
      <c r="F11" s="61">
        <f t="shared" si="1"/>
        <v>0.96153846153846168</v>
      </c>
      <c r="H11" s="50"/>
      <c r="I11" s="47"/>
      <c r="J11" s="102"/>
      <c r="M11" s="47"/>
      <c r="N11" s="103"/>
      <c r="O11" s="47"/>
      <c r="P11" s="47"/>
      <c r="Q11" s="47"/>
      <c r="R11" s="47"/>
      <c r="T11" s="21"/>
      <c r="U11" s="21"/>
    </row>
    <row r="12" spans="1:21" x14ac:dyDescent="0.25">
      <c r="A12" s="147"/>
      <c r="B12" s="436" t="s">
        <v>654</v>
      </c>
      <c r="C12" s="436">
        <v>1</v>
      </c>
      <c r="D12" s="9">
        <f>E5/100</f>
        <v>1713.7881402203388</v>
      </c>
      <c r="E12" s="60">
        <f t="shared" si="0"/>
        <v>1713.7881402203388</v>
      </c>
      <c r="F12" s="61">
        <f t="shared" si="1"/>
        <v>0.96153846153846168</v>
      </c>
      <c r="H12" s="50"/>
      <c r="I12" s="47"/>
      <c r="J12" s="102"/>
      <c r="M12" s="103"/>
      <c r="N12" s="103"/>
      <c r="O12" s="47"/>
      <c r="P12" s="47"/>
      <c r="Q12" s="47"/>
      <c r="R12" s="47"/>
      <c r="T12" s="21"/>
      <c r="U12" s="21"/>
    </row>
    <row r="13" spans="1:21" x14ac:dyDescent="0.25">
      <c r="A13" s="147"/>
      <c r="B13" s="436" t="s">
        <v>355</v>
      </c>
      <c r="C13" s="436">
        <v>1</v>
      </c>
      <c r="D13" s="9">
        <f>(E5*2)/100</f>
        <v>3427.5762804406777</v>
      </c>
      <c r="E13" s="60">
        <f t="shared" si="0"/>
        <v>3427.5762804406777</v>
      </c>
      <c r="F13" s="61">
        <f t="shared" si="1"/>
        <v>1.9230769230769234</v>
      </c>
      <c r="H13" s="50"/>
      <c r="I13" s="47"/>
      <c r="J13" s="102"/>
      <c r="M13" s="103"/>
      <c r="N13" s="47"/>
      <c r="O13" s="47"/>
      <c r="P13" s="47"/>
      <c r="Q13" s="47"/>
      <c r="R13" s="47"/>
      <c r="T13" s="21"/>
      <c r="U13" s="21"/>
    </row>
    <row r="14" spans="1:21" x14ac:dyDescent="0.25">
      <c r="A14" s="47"/>
      <c r="B14" s="47"/>
      <c r="C14" s="47"/>
      <c r="D14" s="47"/>
      <c r="E14" s="62">
        <f>SUM(E7:E13)</f>
        <v>178233.96658291522</v>
      </c>
      <c r="F14" s="63">
        <f>SUM(F7:F13)</f>
        <v>100.00000000000004</v>
      </c>
      <c r="H14" s="63"/>
      <c r="I14" s="47"/>
      <c r="J14" s="102"/>
      <c r="K14" s="102"/>
      <c r="L14" s="103"/>
      <c r="M14" s="103"/>
      <c r="N14" s="47"/>
      <c r="O14" s="47"/>
      <c r="P14" s="47"/>
      <c r="Q14" s="47"/>
      <c r="R14" s="47"/>
      <c r="T14" s="47"/>
    </row>
    <row r="15" spans="1:21" x14ac:dyDescent="0.25">
      <c r="A15" s="47"/>
      <c r="B15" s="47"/>
      <c r="C15" s="47"/>
      <c r="D15" s="47"/>
      <c r="E15" s="47"/>
      <c r="F15" s="62"/>
      <c r="G15" s="63"/>
      <c r="H15" s="63"/>
      <c r="I15" s="47"/>
      <c r="J15" s="102"/>
      <c r="K15" s="102"/>
      <c r="L15" s="103"/>
      <c r="M15" s="103"/>
      <c r="N15" s="47"/>
      <c r="O15" s="47"/>
      <c r="P15" s="47"/>
      <c r="Q15" s="47"/>
      <c r="R15" s="47"/>
      <c r="S15" s="20"/>
      <c r="T15" s="47"/>
    </row>
    <row r="16" spans="1:21" x14ac:dyDescent="0.25">
      <c r="A16" s="47"/>
      <c r="B16" s="47"/>
      <c r="C16" s="47"/>
      <c r="D16" s="47"/>
      <c r="E16" s="47"/>
      <c r="F16" s="47"/>
      <c r="I16" s="47"/>
      <c r="J16" s="102"/>
      <c r="K16" s="102"/>
      <c r="L16" s="103"/>
      <c r="M16" s="103"/>
      <c r="N16" s="47"/>
      <c r="O16" s="47"/>
      <c r="P16" s="47"/>
      <c r="Q16" s="47"/>
      <c r="R16" s="47"/>
      <c r="S16" s="20"/>
      <c r="T16" s="47"/>
    </row>
    <row r="17" spans="1:20" ht="41.25" customHeight="1" x14ac:dyDescent="0.25">
      <c r="A17" s="47"/>
      <c r="B17" s="47"/>
      <c r="C17" s="1003" t="str">
        <f>B7</f>
        <v>SILLA ERGONÓMICA DE RESPALDO ALTO CON REPOSABRAZOS</v>
      </c>
      <c r="D17" s="1004"/>
      <c r="E17" s="1005"/>
      <c r="F17" s="1003" t="str">
        <f>B8</f>
        <v>SILLA DE PALA APILABLE CON BRAZO ABATIBLE</v>
      </c>
      <c r="G17" s="1009"/>
      <c r="H17" s="1010"/>
      <c r="I17" s="1003" t="str">
        <f>B9</f>
        <v xml:space="preserve">CONFIDENTE </v>
      </c>
      <c r="J17" s="1009"/>
      <c r="K17" s="1010"/>
      <c r="L17" s="1003" t="str">
        <f>B10</f>
        <v>CONFIDENTE CON RUEDAS</v>
      </c>
      <c r="M17" s="1009"/>
      <c r="N17" s="1010"/>
      <c r="S17" s="47"/>
      <c r="T17" s="47"/>
    </row>
    <row r="18" spans="1:20" ht="12.75" customHeight="1" x14ac:dyDescent="0.25">
      <c r="A18" s="47"/>
      <c r="B18" s="47"/>
      <c r="C18" s="1006" t="s">
        <v>191</v>
      </c>
      <c r="D18" s="1007"/>
      <c r="E18" s="1008"/>
      <c r="F18" s="1006" t="s">
        <v>191</v>
      </c>
      <c r="G18" s="1011"/>
      <c r="H18" s="1012"/>
      <c r="I18" s="1006" t="s">
        <v>191</v>
      </c>
      <c r="J18" s="1011"/>
      <c r="K18" s="1012"/>
      <c r="L18" s="1006" t="s">
        <v>191</v>
      </c>
      <c r="M18" s="1011"/>
      <c r="N18" s="1012"/>
      <c r="S18" s="47"/>
      <c r="T18" s="47"/>
    </row>
    <row r="19" spans="1:20" ht="52.8" x14ac:dyDescent="0.25">
      <c r="A19" s="47"/>
      <c r="B19" s="904" t="s">
        <v>252</v>
      </c>
      <c r="C19" s="905" t="s">
        <v>644</v>
      </c>
      <c r="D19" s="906" t="s">
        <v>12</v>
      </c>
      <c r="E19" s="903" t="s">
        <v>13</v>
      </c>
      <c r="F19" s="905" t="s">
        <v>645</v>
      </c>
      <c r="G19" s="906" t="s">
        <v>12</v>
      </c>
      <c r="H19" s="903" t="s">
        <v>13</v>
      </c>
      <c r="I19" s="905" t="s">
        <v>645</v>
      </c>
      <c r="J19" s="906" t="s">
        <v>12</v>
      </c>
      <c r="K19" s="903" t="s">
        <v>13</v>
      </c>
      <c r="L19" s="905" t="s">
        <v>645</v>
      </c>
      <c r="M19" s="906" t="s">
        <v>12</v>
      </c>
      <c r="N19" s="903" t="s">
        <v>13</v>
      </c>
      <c r="O19" s="907" t="s">
        <v>19</v>
      </c>
      <c r="S19" s="47"/>
      <c r="T19" s="47"/>
    </row>
    <row r="20" spans="1:20" ht="12.75" customHeight="1" x14ac:dyDescent="0.25">
      <c r="B20" s="331" t="str">
        <f>Empresas!A30</f>
        <v>ALECOP S. COOP.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9"/>
      <c r="S20" s="47"/>
    </row>
    <row r="21" spans="1:20" ht="12.75" customHeight="1" x14ac:dyDescent="0.25">
      <c r="B21" s="331" t="str">
        <f>Empresas!A31</f>
        <v>ANDALUZA DE PAPELERIA (OFIPAPEL)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9"/>
      <c r="S21" s="47"/>
    </row>
    <row r="22" spans="1:20" x14ac:dyDescent="0.25">
      <c r="B22" s="58" t="str">
        <f>Empresas!A32</f>
        <v>BALIPE SUMINISTROS E INSTALACIONES</v>
      </c>
      <c r="C22" s="329">
        <f>'Lote 2 - Items'!$I$65</f>
        <v>26.5</v>
      </c>
      <c r="D22" s="19">
        <f>$F$7</f>
        <v>38.014816142511165</v>
      </c>
      <c r="E22" s="10">
        <f>(C22*D22)/100</f>
        <v>10.073926277765459</v>
      </c>
      <c r="F22" s="329">
        <f>'Lote 2 - Items'!$I$104</f>
        <v>33</v>
      </c>
      <c r="G22" s="19">
        <f>$F$8</f>
        <v>2.1396366782084795</v>
      </c>
      <c r="H22" s="10">
        <f>(F22*G22)/100</f>
        <v>0.70608010380879815</v>
      </c>
      <c r="I22" s="329">
        <f>'Lote 2 - Items'!$I$145</f>
        <v>28</v>
      </c>
      <c r="J22" s="19">
        <f>$F$9</f>
        <v>27.999376862201093</v>
      </c>
      <c r="K22" s="10">
        <f>(I22*J22)/100</f>
        <v>7.8398255214163051</v>
      </c>
      <c r="L22" s="329">
        <f>'Lote 2 - Items'!$I$191</f>
        <v>26</v>
      </c>
      <c r="M22" s="19">
        <f>$F$10</f>
        <v>28.000016470925438</v>
      </c>
      <c r="N22" s="10">
        <f>(L22*M22)/100</f>
        <v>7.2800042824406139</v>
      </c>
      <c r="O22" s="447">
        <f>E22+H22+K22+N22</f>
        <v>25.899836185431177</v>
      </c>
      <c r="S22" s="47"/>
    </row>
    <row r="23" spans="1:20" x14ac:dyDescent="0.25">
      <c r="B23" s="58" t="str">
        <f>Empresas!A33</f>
        <v>COMERCIAL DE INDUSTRIAS REUNIDAS</v>
      </c>
      <c r="C23" s="329">
        <f>'Lote 2 - Items'!$K$65</f>
        <v>18.5</v>
      </c>
      <c r="D23" s="19">
        <f>$F$7</f>
        <v>38.014816142511165</v>
      </c>
      <c r="E23" s="10">
        <f t="shared" ref="E23:E36" si="2">(C23*D23)/100</f>
        <v>7.0327409863645656</v>
      </c>
      <c r="F23" s="329">
        <f>'Lote 2 - Items'!$K$104</f>
        <v>20</v>
      </c>
      <c r="G23" s="19">
        <f>$F$8</f>
        <v>2.1396366782084795</v>
      </c>
      <c r="H23" s="10">
        <f>(F23*G23)/100</f>
        <v>0.42792733564169588</v>
      </c>
      <c r="I23" s="329">
        <f>'Lote 2 - Items'!$K$145</f>
        <v>11</v>
      </c>
      <c r="J23" s="19">
        <f>$F$9</f>
        <v>27.999376862201093</v>
      </c>
      <c r="K23" s="10">
        <f>(I23*J23)/100</f>
        <v>3.0799314548421197</v>
      </c>
      <c r="L23" s="329">
        <f>'Lote 2 - Items'!$K$191</f>
        <v>17</v>
      </c>
      <c r="M23" s="19">
        <f>$F$10</f>
        <v>28.000016470925438</v>
      </c>
      <c r="N23" s="10">
        <f t="shared" ref="N23:N36" si="3">(L23*M23)/100</f>
        <v>4.7600028000573245</v>
      </c>
      <c r="O23" s="447">
        <f t="shared" ref="O23:O36" si="4">E23+H23+K23+N23</f>
        <v>15.300602576905707</v>
      </c>
    </row>
    <row r="24" spans="1:20" x14ac:dyDescent="0.25">
      <c r="B24" s="58" t="str">
        <f>Empresas!A34</f>
        <v>EDUARDO BALLESTEROS S.L</v>
      </c>
      <c r="C24" s="329">
        <f>'Lote 2 - Items'!$M$65</f>
        <v>34.5</v>
      </c>
      <c r="D24" s="19">
        <f>$F$7</f>
        <v>38.014816142511165</v>
      </c>
      <c r="E24" s="10">
        <f t="shared" si="2"/>
        <v>13.115111569166352</v>
      </c>
      <c r="F24" s="329">
        <f>'Lote 2 - Items'!$M$104</f>
        <v>22</v>
      </c>
      <c r="G24" s="19">
        <f>$F$8</f>
        <v>2.1396366782084795</v>
      </c>
      <c r="H24" s="10">
        <f>(F24*G24)/100</f>
        <v>0.47072006920586545</v>
      </c>
      <c r="I24" s="329">
        <f>'Lote 2 - Items'!$M$145</f>
        <v>23</v>
      </c>
      <c r="J24" s="19">
        <f>$F$9</f>
        <v>27.999376862201093</v>
      </c>
      <c r="K24" s="10">
        <f>(I24*J24)/100</f>
        <v>6.4398566783062519</v>
      </c>
      <c r="L24" s="329">
        <f>'Lote 2 - Items'!$M$191</f>
        <v>21</v>
      </c>
      <c r="M24" s="19">
        <f>$F$10</f>
        <v>28.000016470925438</v>
      </c>
      <c r="N24" s="10">
        <f t="shared" si="3"/>
        <v>5.8800034588943424</v>
      </c>
      <c r="O24" s="447">
        <f t="shared" si="4"/>
        <v>25.905691775572812</v>
      </c>
    </row>
    <row r="25" spans="1:20" x14ac:dyDescent="0.25">
      <c r="B25" s="58" t="str">
        <f>Empresas!A35</f>
        <v>EL CORTE INGLÉS</v>
      </c>
      <c r="C25" s="329">
        <f>'Lote 2 - Items'!$O$65</f>
        <v>31.5</v>
      </c>
      <c r="D25" s="19">
        <f>$F$7</f>
        <v>38.014816142511165</v>
      </c>
      <c r="E25" s="10">
        <f t="shared" si="2"/>
        <v>11.974667084891017</v>
      </c>
      <c r="F25" s="329">
        <f>'Lote 2 - Items'!$O$104</f>
        <v>22</v>
      </c>
      <c r="G25" s="19">
        <f>$F$8</f>
        <v>2.1396366782084795</v>
      </c>
      <c r="H25" s="10">
        <f>(F25*G25)/100</f>
        <v>0.47072006920586545</v>
      </c>
      <c r="I25" s="329">
        <f>'Lote 2 - Items'!$O$145</f>
        <v>23</v>
      </c>
      <c r="J25" s="19">
        <f>$F$9</f>
        <v>27.999376862201093</v>
      </c>
      <c r="K25" s="10">
        <f>(I25*J25)/100</f>
        <v>6.4398566783062519</v>
      </c>
      <c r="L25" s="329">
        <f>'Lote 2 - Items'!$O$191</f>
        <v>21</v>
      </c>
      <c r="M25" s="19">
        <f>$F$10</f>
        <v>28.000016470925438</v>
      </c>
      <c r="N25" s="10">
        <f t="shared" si="3"/>
        <v>5.8800034588943424</v>
      </c>
      <c r="O25" s="447">
        <f t="shared" si="4"/>
        <v>24.765247291297477</v>
      </c>
    </row>
    <row r="26" spans="1:20" x14ac:dyDescent="0.25">
      <c r="B26" s="331" t="str">
        <f>Empresas!A36</f>
        <v>ESQUITINO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9"/>
    </row>
    <row r="27" spans="1:20" x14ac:dyDescent="0.25">
      <c r="B27" s="58" t="str">
        <f>Empresas!A37</f>
        <v>GRUPO KAT</v>
      </c>
      <c r="C27" s="329">
        <f>'Lote 2 - Items'!$S$65</f>
        <v>17</v>
      </c>
      <c r="D27" s="19">
        <f>$F$7</f>
        <v>38.014816142511165</v>
      </c>
      <c r="E27" s="10">
        <f t="shared" si="2"/>
        <v>6.4625187442268972</v>
      </c>
      <c r="F27" s="329">
        <f>'Lote 2 - Items'!$S$104</f>
        <v>8</v>
      </c>
      <c r="G27" s="19">
        <f>$F$8</f>
        <v>2.1396366782084795</v>
      </c>
      <c r="H27" s="10">
        <f>(F27*G27)/100</f>
        <v>0.17117093425667837</v>
      </c>
      <c r="I27" s="329">
        <f>'Lote 2 - Items'!$S$145</f>
        <v>27</v>
      </c>
      <c r="J27" s="19">
        <f>$F$9</f>
        <v>27.999376862201093</v>
      </c>
      <c r="K27" s="10">
        <f>(I27*J27)/100</f>
        <v>7.5598317527942944</v>
      </c>
      <c r="L27" s="329">
        <f>'Lote 2 - Items'!S191</f>
        <v>26</v>
      </c>
      <c r="M27" s="19">
        <f>$F$10</f>
        <v>28.000016470925438</v>
      </c>
      <c r="N27" s="10">
        <f t="shared" si="3"/>
        <v>7.2800042824406139</v>
      </c>
      <c r="O27" s="447">
        <f t="shared" si="4"/>
        <v>21.473525713718484</v>
      </c>
    </row>
    <row r="28" spans="1:20" x14ac:dyDescent="0.25">
      <c r="B28" s="58" t="str">
        <f>Empresas!A38</f>
        <v>LAUSAN</v>
      </c>
      <c r="C28" s="329">
        <f>'Lote 2 - Items'!$U$65</f>
        <v>38.5</v>
      </c>
      <c r="D28" s="19">
        <f>$F$7</f>
        <v>38.014816142511165</v>
      </c>
      <c r="E28" s="10">
        <f t="shared" si="2"/>
        <v>14.635704214866799</v>
      </c>
      <c r="F28" s="329">
        <f>'Lote 2 - Items'!$U$104</f>
        <v>32</v>
      </c>
      <c r="G28" s="19">
        <f>$F$8</f>
        <v>2.1396366782084795</v>
      </c>
      <c r="H28" s="10">
        <f>(F28*G28)/100</f>
        <v>0.68468373702671348</v>
      </c>
      <c r="I28" s="329">
        <f>'Lote 2 - Items'!$U$145</f>
        <v>34</v>
      </c>
      <c r="J28" s="19">
        <f>$F$9</f>
        <v>27.999376862201093</v>
      </c>
      <c r="K28" s="10">
        <f>(I28*J28)/100</f>
        <v>9.5197881331483707</v>
      </c>
      <c r="L28" s="329">
        <f>'Lote 2 - Items'!$U$191</f>
        <v>32</v>
      </c>
      <c r="M28" s="19">
        <f>$F$10</f>
        <v>28.000016470925438</v>
      </c>
      <c r="N28" s="10">
        <f t="shared" si="3"/>
        <v>8.9600052706961399</v>
      </c>
      <c r="O28" s="447">
        <f t="shared" si="4"/>
        <v>33.800181355738019</v>
      </c>
    </row>
    <row r="29" spans="1:20" x14ac:dyDescent="0.25">
      <c r="B29" s="58" t="str">
        <f>Empresas!A39</f>
        <v>MELCO</v>
      </c>
      <c r="C29" s="329">
        <f>'Lote 2 - Items'!$W$65</f>
        <v>35.5</v>
      </c>
      <c r="D29" s="19">
        <f>$F$7</f>
        <v>38.014816142511165</v>
      </c>
      <c r="E29" s="10">
        <f t="shared" si="2"/>
        <v>13.495259730591464</v>
      </c>
      <c r="F29" s="329">
        <f>'Lote 2 - Items'!$W$104</f>
        <v>32</v>
      </c>
      <c r="G29" s="19">
        <f>$F$8</f>
        <v>2.1396366782084795</v>
      </c>
      <c r="H29" s="10">
        <f>(F29*G29)/100</f>
        <v>0.68468373702671348</v>
      </c>
      <c r="I29" s="329">
        <f>'Lote 2 - Items'!$W$145</f>
        <v>34</v>
      </c>
      <c r="J29" s="19">
        <f>$F$9</f>
        <v>27.999376862201093</v>
      </c>
      <c r="K29" s="10">
        <f>(I29*J29)/100</f>
        <v>9.5197881331483707</v>
      </c>
      <c r="L29" s="329">
        <f>'Lote 2 - Items'!$W$191</f>
        <v>30</v>
      </c>
      <c r="M29" s="19">
        <f>$F$10</f>
        <v>28.000016470925438</v>
      </c>
      <c r="N29" s="10">
        <f t="shared" si="3"/>
        <v>8.400004941277631</v>
      </c>
      <c r="O29" s="447">
        <f t="shared" si="4"/>
        <v>32.099736542044177</v>
      </c>
    </row>
    <row r="30" spans="1:20" x14ac:dyDescent="0.25">
      <c r="B30" s="58" t="str">
        <f>Empresas!A40</f>
        <v>MOFISER S.L</v>
      </c>
      <c r="C30" s="329">
        <f>'Lote 2 - Items'!$Y$65</f>
        <v>25.5</v>
      </c>
      <c r="D30" s="19">
        <f>$F$7</f>
        <v>38.014816142511165</v>
      </c>
      <c r="E30" s="10">
        <f t="shared" si="2"/>
        <v>9.6937781163403471</v>
      </c>
      <c r="F30" s="329">
        <f>'Lote 2 - Items'!$Y$104</f>
        <v>30</v>
      </c>
      <c r="G30" s="19">
        <f>$F$8</f>
        <v>2.1396366782084795</v>
      </c>
      <c r="H30" s="10">
        <f>(F30*G30)/100</f>
        <v>0.6418910034625438</v>
      </c>
      <c r="I30" s="329">
        <f>'Lote 2 - Items'!$Y$145</f>
        <v>28</v>
      </c>
      <c r="J30" s="19">
        <f>$F$9</f>
        <v>27.999376862201093</v>
      </c>
      <c r="K30" s="10">
        <f>(I30*J30)/100</f>
        <v>7.8398255214163051</v>
      </c>
      <c r="L30" s="329">
        <f>'Lote 2 - Items'!$Y$191</f>
        <v>25</v>
      </c>
      <c r="M30" s="19">
        <f>$F$10</f>
        <v>28.000016470925438</v>
      </c>
      <c r="N30" s="10">
        <f t="shared" si="3"/>
        <v>7.0000041177313594</v>
      </c>
      <c r="O30" s="447">
        <f t="shared" si="4"/>
        <v>25.175498758950553</v>
      </c>
    </row>
    <row r="31" spans="1:20" x14ac:dyDescent="0.25">
      <c r="B31" s="331" t="str">
        <f>Empresas!A41</f>
        <v>MOGAR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9"/>
    </row>
    <row r="32" spans="1:20" x14ac:dyDescent="0.25">
      <c r="B32" s="58" t="str">
        <f>Empresas!A42</f>
        <v>MUEBLES TINAS</v>
      </c>
      <c r="C32" s="329">
        <f>'Lote 2 - Items'!$AC$65</f>
        <v>33.5</v>
      </c>
      <c r="D32" s="19">
        <f>$F$7</f>
        <v>38.014816142511165</v>
      </c>
      <c r="E32" s="10">
        <f t="shared" si="2"/>
        <v>12.73496340774124</v>
      </c>
      <c r="F32" s="329">
        <f>'Lote 2 - Items'!$AC$104</f>
        <v>27</v>
      </c>
      <c r="G32" s="19">
        <f>$F$8</f>
        <v>2.1396366782084795</v>
      </c>
      <c r="H32" s="10">
        <f>(F32*G32)/100</f>
        <v>0.57770190311628944</v>
      </c>
      <c r="I32" s="329">
        <f>'Lote 2 - Items'!$AC$145</f>
        <v>31</v>
      </c>
      <c r="J32" s="19">
        <f>$F$9</f>
        <v>27.999376862201093</v>
      </c>
      <c r="K32" s="10">
        <f>(I32*J32)/100</f>
        <v>8.6798068272823397</v>
      </c>
      <c r="L32" s="329">
        <f>'Lote 2 - Items'!$AC$191</f>
        <v>28</v>
      </c>
      <c r="M32" s="19">
        <f>$F$10</f>
        <v>28.000016470925438</v>
      </c>
      <c r="N32" s="10">
        <f t="shared" si="3"/>
        <v>7.8400046118591229</v>
      </c>
      <c r="O32" s="447">
        <f t="shared" si="4"/>
        <v>29.832476749998989</v>
      </c>
    </row>
    <row r="33" spans="2:15" x14ac:dyDescent="0.25">
      <c r="B33" s="58" t="str">
        <f>Empresas!A43</f>
        <v>OFINET</v>
      </c>
      <c r="C33" s="329">
        <f>'Lote 2 - Items'!$AE$65</f>
        <v>27.5</v>
      </c>
      <c r="D33" s="19">
        <f>$F$7</f>
        <v>38.014816142511165</v>
      </c>
      <c r="E33" s="10">
        <f t="shared" si="2"/>
        <v>10.45407443919057</v>
      </c>
      <c r="F33" s="329">
        <f>'Lote 2 - Items'!$AE$104</f>
        <v>25</v>
      </c>
      <c r="G33" s="19">
        <f>$F$8</f>
        <v>2.1396366782084795</v>
      </c>
      <c r="H33" s="10">
        <f>(F33*G33)/100</f>
        <v>0.53490916955211987</v>
      </c>
      <c r="I33" s="329">
        <f>'Lote 2 - Items'!$AE$145</f>
        <v>27</v>
      </c>
      <c r="J33" s="19">
        <f>$F$9</f>
        <v>27.999376862201093</v>
      </c>
      <c r="K33" s="10">
        <f>(I33*J33)/100</f>
        <v>7.5598317527942944</v>
      </c>
      <c r="L33" s="329">
        <f>'Lote 2 - Items'!$AE$191</f>
        <v>34</v>
      </c>
      <c r="M33" s="19">
        <f>$F$10</f>
        <v>28.000016470925438</v>
      </c>
      <c r="N33" s="10">
        <f t="shared" si="3"/>
        <v>9.5200056001146489</v>
      </c>
      <c r="O33" s="447">
        <f t="shared" si="4"/>
        <v>28.068820961651632</v>
      </c>
    </row>
    <row r="34" spans="2:15" x14ac:dyDescent="0.25">
      <c r="B34" s="58" t="str">
        <f>Empresas!A44</f>
        <v>OFITA INTERIORES (JOCAFRI)</v>
      </c>
      <c r="C34" s="329">
        <f>'Lote 2 - Items'!$AG$65</f>
        <v>24.5</v>
      </c>
      <c r="D34" s="19">
        <f>$F$7</f>
        <v>38.014816142511165</v>
      </c>
      <c r="E34" s="10">
        <f t="shared" si="2"/>
        <v>9.3136299549152355</v>
      </c>
      <c r="F34" s="329">
        <f>'Lote 2 - Items'!AG104</f>
        <v>22</v>
      </c>
      <c r="G34" s="19">
        <f>$F$8</f>
        <v>2.1396366782084795</v>
      </c>
      <c r="H34" s="10">
        <f>(F34*G34)/100</f>
        <v>0.47072006920586545</v>
      </c>
      <c r="I34" s="329">
        <f>'Lote 2 - Items'!$AG$145</f>
        <v>26</v>
      </c>
      <c r="J34" s="19">
        <f>$F$9</f>
        <v>27.999376862201093</v>
      </c>
      <c r="K34" s="10">
        <f>(I34*J34)/100</f>
        <v>7.2798379841722838</v>
      </c>
      <c r="L34" s="329">
        <f>'Lote 2 - Items'!AG191</f>
        <v>23</v>
      </c>
      <c r="M34" s="19">
        <f>$F$10</f>
        <v>28.000016470925438</v>
      </c>
      <c r="N34" s="10">
        <f t="shared" si="3"/>
        <v>6.4400037883128505</v>
      </c>
      <c r="O34" s="447">
        <f t="shared" si="4"/>
        <v>23.504191796606236</v>
      </c>
    </row>
    <row r="35" spans="2:15" x14ac:dyDescent="0.25">
      <c r="B35" s="331" t="str">
        <f>Empresas!A45</f>
        <v>PAPELERÍA COLÓN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9"/>
    </row>
    <row r="36" spans="2:15" x14ac:dyDescent="0.25">
      <c r="B36" s="58" t="str">
        <f>Empresas!A46</f>
        <v>RUIZ COLLADO</v>
      </c>
      <c r="C36" s="329">
        <f>'Lote 2 - Items'!$AK$65</f>
        <v>20</v>
      </c>
      <c r="D36" s="19">
        <f>$F$7</f>
        <v>38.014816142511165</v>
      </c>
      <c r="E36" s="10">
        <f t="shared" si="2"/>
        <v>7.6029632285022331</v>
      </c>
      <c r="F36" s="329">
        <f>'Lote 2 - Items'!$AK$104</f>
        <v>20</v>
      </c>
      <c r="G36" s="19">
        <f>$F$8</f>
        <v>2.1396366782084795</v>
      </c>
      <c r="H36" s="10">
        <f>(F36*G36)/100</f>
        <v>0.42792733564169588</v>
      </c>
      <c r="I36" s="329">
        <f>'Lote 2 - Items'!$AK$145</f>
        <v>21</v>
      </c>
      <c r="J36" s="19">
        <f>$F$9</f>
        <v>27.999376862201093</v>
      </c>
      <c r="K36" s="10">
        <f>(I36*J36)/100</f>
        <v>5.8798691410622288</v>
      </c>
      <c r="L36" s="329">
        <f>'Lote 2 - Items'!$AK$191</f>
        <v>18</v>
      </c>
      <c r="M36" s="19">
        <f>$F$10</f>
        <v>28.000016470925438</v>
      </c>
      <c r="N36" s="10">
        <f t="shared" si="3"/>
        <v>5.0400029647665789</v>
      </c>
      <c r="O36" s="447">
        <f t="shared" si="4"/>
        <v>18.950762669972736</v>
      </c>
    </row>
    <row r="37" spans="2:15" x14ac:dyDescent="0.25">
      <c r="B37" s="331" t="str">
        <f>Empresas!A47</f>
        <v>SERVITEC</v>
      </c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9"/>
    </row>
    <row r="38" spans="2:15" x14ac:dyDescent="0.25">
      <c r="B38" s="47"/>
    </row>
    <row r="39" spans="2:15" ht="12.75" customHeight="1" x14ac:dyDescent="0.25">
      <c r="C39" s="1013" t="s">
        <v>664</v>
      </c>
      <c r="D39" s="1014"/>
      <c r="E39" s="1014"/>
      <c r="F39" s="1014"/>
      <c r="G39" s="1014"/>
      <c r="H39" s="1014"/>
      <c r="I39" s="1014"/>
      <c r="J39" s="1014"/>
      <c r="K39" s="1015"/>
      <c r="L39" s="974" t="s">
        <v>665</v>
      </c>
      <c r="M39" s="974" t="s">
        <v>660</v>
      </c>
    </row>
    <row r="40" spans="2:15" x14ac:dyDescent="0.25">
      <c r="C40" s="1016"/>
      <c r="D40" s="1017"/>
      <c r="E40" s="1017"/>
      <c r="F40" s="1017"/>
      <c r="G40" s="1017"/>
      <c r="H40" s="1017"/>
      <c r="I40" s="1017"/>
      <c r="J40" s="1017"/>
      <c r="K40" s="1018"/>
      <c r="L40" s="1022"/>
      <c r="M40" s="1022"/>
    </row>
    <row r="41" spans="2:15" x14ac:dyDescent="0.25">
      <c r="C41" s="1019"/>
      <c r="D41" s="1020"/>
      <c r="E41" s="1020"/>
      <c r="F41" s="1020"/>
      <c r="G41" s="1020"/>
      <c r="H41" s="1020"/>
      <c r="I41" s="1020"/>
      <c r="J41" s="1020"/>
      <c r="K41" s="1021"/>
      <c r="L41" s="975"/>
      <c r="M41" s="1022"/>
      <c r="N41" s="965" t="s">
        <v>20</v>
      </c>
    </row>
    <row r="42" spans="2:15" ht="70.5" customHeight="1" x14ac:dyDescent="0.25">
      <c r="B42" s="904" t="s">
        <v>252</v>
      </c>
      <c r="C42" s="907" t="s">
        <v>663</v>
      </c>
      <c r="D42" s="906" t="s">
        <v>12</v>
      </c>
      <c r="E42" s="903" t="s">
        <v>13</v>
      </c>
      <c r="F42" s="907" t="s">
        <v>662</v>
      </c>
      <c r="G42" s="906" t="s">
        <v>12</v>
      </c>
      <c r="H42" s="903" t="s">
        <v>13</v>
      </c>
      <c r="I42" s="907" t="s">
        <v>661</v>
      </c>
      <c r="J42" s="906" t="s">
        <v>12</v>
      </c>
      <c r="K42" s="903" t="s">
        <v>13</v>
      </c>
      <c r="L42" s="907" t="s">
        <v>19</v>
      </c>
      <c r="M42" s="975"/>
      <c r="N42" s="966"/>
    </row>
    <row r="43" spans="2:15" hidden="1" x14ac:dyDescent="0.25">
      <c r="B43" s="331" t="str">
        <f>B20</f>
        <v>ALECOP S. COOP.</v>
      </c>
      <c r="C43" s="332"/>
      <c r="D43" s="332"/>
      <c r="E43" s="332"/>
      <c r="F43" s="332"/>
      <c r="G43" s="332"/>
      <c r="H43" s="332"/>
      <c r="I43" s="332"/>
      <c r="J43" s="332"/>
      <c r="K43" s="332"/>
      <c r="L43" s="339"/>
      <c r="M43" s="339"/>
      <c r="N43" s="339"/>
    </row>
    <row r="44" spans="2:15" hidden="1" x14ac:dyDescent="0.25">
      <c r="B44" s="331" t="str">
        <f t="shared" ref="B44:B60" si="5">B21</f>
        <v>ANDALUZA DE PAPELERIA (OFIPAPEL)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9"/>
      <c r="M44" s="339"/>
      <c r="N44" s="339"/>
    </row>
    <row r="45" spans="2:15" x14ac:dyDescent="0.25">
      <c r="B45" s="446" t="str">
        <f t="shared" si="5"/>
        <v>BALIPE SUMINISTROS E INSTALACIONES</v>
      </c>
      <c r="C45" s="495">
        <v>24</v>
      </c>
      <c r="D45" s="439">
        <f>$F$11</f>
        <v>0.96153846153846168</v>
      </c>
      <c r="E45" s="490">
        <f>($C$62*$C$61)/C45</f>
        <v>0.43269230769230771</v>
      </c>
      <c r="F45" s="495">
        <v>10</v>
      </c>
      <c r="G45" s="439">
        <f>$F$12</f>
        <v>0.96153846153846168</v>
      </c>
      <c r="H45" s="490">
        <f>($F$61*$F$62/F45)</f>
        <v>0.43269230769230765</v>
      </c>
      <c r="I45" s="495">
        <v>16</v>
      </c>
      <c r="J45" s="439">
        <f>$F$13</f>
        <v>1.9230769230769234</v>
      </c>
      <c r="K45" s="490">
        <f>$I$61*$I$62/I45</f>
        <v>5.4086538461538464E-2</v>
      </c>
      <c r="L45" s="496">
        <f>O22</f>
        <v>25.899836185431177</v>
      </c>
      <c r="M45" s="497">
        <f>E45+H45+K45+L45</f>
        <v>26.81930733927733</v>
      </c>
      <c r="N45" s="870">
        <f t="shared" ref="N45:N59" si="6">RANK(M45,M$43:M$60,0)</f>
        <v>5</v>
      </c>
    </row>
    <row r="46" spans="2:15" x14ac:dyDescent="0.25">
      <c r="B46" s="446" t="str">
        <f t="shared" si="5"/>
        <v>COMERCIAL DE INDUSTRIAS REUNIDAS</v>
      </c>
      <c r="C46" s="495">
        <f>24*3</f>
        <v>72</v>
      </c>
      <c r="D46" s="439">
        <f t="shared" ref="D46:D59" si="7">$F$11</f>
        <v>0.96153846153846168</v>
      </c>
      <c r="E46" s="490">
        <f t="shared" ref="E46:E59" si="8">($C$62*$C$61)/C46</f>
        <v>0.14423076923076925</v>
      </c>
      <c r="F46" s="495">
        <v>25</v>
      </c>
      <c r="G46" s="439">
        <f t="shared" ref="G46:G48" si="9">$F$12</f>
        <v>0.96153846153846168</v>
      </c>
      <c r="H46" s="490">
        <f t="shared" ref="H46:H60" si="10">($F$61*$F$62/F46)</f>
        <v>0.17307692307692307</v>
      </c>
      <c r="I46" s="495">
        <v>7</v>
      </c>
      <c r="J46" s="439">
        <f t="shared" ref="J46:J48" si="11">$F$13</f>
        <v>1.9230769230769234</v>
      </c>
      <c r="K46" s="490">
        <f t="shared" ref="K46:K59" si="12">$I$61*$I$62/I46</f>
        <v>0.12362637362637363</v>
      </c>
      <c r="L46" s="496">
        <f t="shared" ref="L46:L59" si="13">O23</f>
        <v>15.300602576905707</v>
      </c>
      <c r="M46" s="497">
        <f t="shared" ref="M46:M59" si="14">E46+H46+K46+L46</f>
        <v>15.741536642839772</v>
      </c>
      <c r="N46" s="870">
        <f t="shared" si="6"/>
        <v>12</v>
      </c>
    </row>
    <row r="47" spans="2:15" x14ac:dyDescent="0.25">
      <c r="B47" s="446" t="str">
        <f t="shared" si="5"/>
        <v>EDUARDO BALLESTEROS S.L</v>
      </c>
      <c r="C47" s="495">
        <v>24</v>
      </c>
      <c r="D47" s="439">
        <f t="shared" si="7"/>
        <v>0.96153846153846168</v>
      </c>
      <c r="E47" s="490">
        <f t="shared" si="8"/>
        <v>0.43269230769230771</v>
      </c>
      <c r="F47" s="495">
        <v>20</v>
      </c>
      <c r="G47" s="439">
        <f t="shared" si="9"/>
        <v>0.96153846153846168</v>
      </c>
      <c r="H47" s="490">
        <f t="shared" si="10"/>
        <v>0.21634615384615383</v>
      </c>
      <c r="I47" s="495">
        <v>24</v>
      </c>
      <c r="J47" s="439">
        <f t="shared" si="11"/>
        <v>1.9230769230769234</v>
      </c>
      <c r="K47" s="490">
        <f t="shared" si="12"/>
        <v>3.6057692307692311E-2</v>
      </c>
      <c r="L47" s="496">
        <f t="shared" si="13"/>
        <v>25.905691775572812</v>
      </c>
      <c r="M47" s="497">
        <f t="shared" si="14"/>
        <v>26.590787929418966</v>
      </c>
      <c r="N47" s="870">
        <f t="shared" si="6"/>
        <v>6</v>
      </c>
    </row>
    <row r="48" spans="2:15" x14ac:dyDescent="0.25">
      <c r="B48" s="446" t="str">
        <f t="shared" si="5"/>
        <v>EL CORTE INGLÉS</v>
      </c>
      <c r="C48" s="495">
        <f>24*5</f>
        <v>120</v>
      </c>
      <c r="D48" s="439">
        <f t="shared" si="7"/>
        <v>0.96153846153846168</v>
      </c>
      <c r="E48" s="490">
        <f t="shared" si="8"/>
        <v>8.6538461538461536E-2</v>
      </c>
      <c r="F48" s="495">
        <v>30</v>
      </c>
      <c r="G48" s="439">
        <f t="shared" si="9"/>
        <v>0.96153846153846168</v>
      </c>
      <c r="H48" s="490">
        <f t="shared" si="10"/>
        <v>0.14423076923076922</v>
      </c>
      <c r="I48" s="495">
        <v>16</v>
      </c>
      <c r="J48" s="439">
        <f t="shared" si="11"/>
        <v>1.9230769230769234</v>
      </c>
      <c r="K48" s="490">
        <f t="shared" si="12"/>
        <v>5.4086538461538464E-2</v>
      </c>
      <c r="L48" s="496">
        <f t="shared" si="13"/>
        <v>24.765247291297477</v>
      </c>
      <c r="M48" s="497">
        <f t="shared" si="14"/>
        <v>25.050103060528247</v>
      </c>
      <c r="N48" s="870">
        <f t="shared" si="6"/>
        <v>8</v>
      </c>
    </row>
    <row r="49" spans="2:14" hidden="1" x14ac:dyDescent="0.25">
      <c r="B49" s="331" t="str">
        <f t="shared" si="5"/>
        <v>ESQUITINO</v>
      </c>
      <c r="C49" s="448"/>
      <c r="D49" s="332"/>
      <c r="E49" s="490" t="e">
        <f t="shared" si="8"/>
        <v>#DIV/0!</v>
      </c>
      <c r="F49" s="448"/>
      <c r="G49" s="332"/>
      <c r="H49" s="490" t="e">
        <f t="shared" si="10"/>
        <v>#DIV/0!</v>
      </c>
      <c r="I49" s="448"/>
      <c r="J49" s="332"/>
      <c r="K49" s="490" t="e">
        <f t="shared" si="12"/>
        <v>#DIV/0!</v>
      </c>
      <c r="L49" s="339"/>
      <c r="M49" s="339"/>
      <c r="N49" s="339"/>
    </row>
    <row r="50" spans="2:14" x14ac:dyDescent="0.25">
      <c r="B50" s="446" t="str">
        <f t="shared" si="5"/>
        <v>GRUPO KAT</v>
      </c>
      <c r="C50" s="495">
        <v>168</v>
      </c>
      <c r="D50" s="439">
        <f t="shared" si="7"/>
        <v>0.96153846153846168</v>
      </c>
      <c r="E50" s="490">
        <f t="shared" si="8"/>
        <v>6.1813186813186816E-2</v>
      </c>
      <c r="F50" s="495">
        <v>15</v>
      </c>
      <c r="G50" s="439">
        <f>$F$12</f>
        <v>0.96153846153846168</v>
      </c>
      <c r="H50" s="490">
        <f t="shared" si="10"/>
        <v>0.28846153846153844</v>
      </c>
      <c r="I50" s="495">
        <v>48</v>
      </c>
      <c r="J50" s="439">
        <f>$F$13</f>
        <v>1.9230769230769234</v>
      </c>
      <c r="K50" s="490">
        <f t="shared" si="12"/>
        <v>1.8028846153846156E-2</v>
      </c>
      <c r="L50" s="496">
        <f t="shared" si="13"/>
        <v>21.473525713718484</v>
      </c>
      <c r="M50" s="497">
        <f t="shared" si="14"/>
        <v>21.841829285147057</v>
      </c>
      <c r="N50" s="870">
        <f t="shared" si="6"/>
        <v>10</v>
      </c>
    </row>
    <row r="51" spans="2:14" x14ac:dyDescent="0.25">
      <c r="B51" s="908" t="str">
        <f t="shared" si="5"/>
        <v>LAUSAN</v>
      </c>
      <c r="C51" s="909">
        <v>72</v>
      </c>
      <c r="D51" s="901">
        <f t="shared" si="7"/>
        <v>0.96153846153846168</v>
      </c>
      <c r="E51" s="490">
        <f t="shared" si="8"/>
        <v>0.14423076923076925</v>
      </c>
      <c r="F51" s="909">
        <v>45</v>
      </c>
      <c r="G51" s="901">
        <f t="shared" ref="G51:G53" si="15">$F$12</f>
        <v>0.96153846153846168</v>
      </c>
      <c r="H51" s="490">
        <f t="shared" si="10"/>
        <v>9.6153846153846145E-2</v>
      </c>
      <c r="I51" s="909">
        <v>72</v>
      </c>
      <c r="J51" s="901">
        <f t="shared" ref="J51:J53" si="16">$F$13</f>
        <v>1.9230769230769234</v>
      </c>
      <c r="K51" s="490">
        <f t="shared" si="12"/>
        <v>1.201923076923077E-2</v>
      </c>
      <c r="L51" s="911">
        <f t="shared" si="13"/>
        <v>33.800181355738019</v>
      </c>
      <c r="M51" s="497">
        <f t="shared" si="14"/>
        <v>34.052585201891866</v>
      </c>
      <c r="N51" s="870">
        <f t="shared" si="6"/>
        <v>1</v>
      </c>
    </row>
    <row r="52" spans="2:14" x14ac:dyDescent="0.25">
      <c r="B52" s="908" t="str">
        <f t="shared" si="5"/>
        <v>MELCO</v>
      </c>
      <c r="C52" s="909">
        <v>240</v>
      </c>
      <c r="D52" s="901">
        <f t="shared" si="7"/>
        <v>0.96153846153846168</v>
      </c>
      <c r="E52" s="490">
        <f t="shared" si="8"/>
        <v>4.3269230769230768E-2</v>
      </c>
      <c r="F52" s="909">
        <v>25</v>
      </c>
      <c r="G52" s="901">
        <f t="shared" si="15"/>
        <v>0.96153846153846168</v>
      </c>
      <c r="H52" s="490">
        <f t="shared" si="10"/>
        <v>0.17307692307692307</v>
      </c>
      <c r="I52" s="909">
        <v>24</v>
      </c>
      <c r="J52" s="901">
        <f t="shared" si="16"/>
        <v>1.9230769230769234</v>
      </c>
      <c r="K52" s="490">
        <f t="shared" si="12"/>
        <v>3.6057692307692311E-2</v>
      </c>
      <c r="L52" s="911">
        <f t="shared" si="13"/>
        <v>32.099736542044177</v>
      </c>
      <c r="M52" s="497">
        <f t="shared" si="14"/>
        <v>32.352140388198023</v>
      </c>
      <c r="N52" s="870">
        <f t="shared" si="6"/>
        <v>2</v>
      </c>
    </row>
    <row r="53" spans="2:14" x14ac:dyDescent="0.25">
      <c r="B53" s="446" t="str">
        <f t="shared" si="5"/>
        <v>MOFISER S.L</v>
      </c>
      <c r="C53" s="495">
        <v>720</v>
      </c>
      <c r="D53" s="439">
        <f t="shared" si="7"/>
        <v>0.96153846153846168</v>
      </c>
      <c r="E53" s="490">
        <f t="shared" si="8"/>
        <v>1.4423076923076924E-2</v>
      </c>
      <c r="F53" s="495">
        <v>30</v>
      </c>
      <c r="G53" s="439">
        <f t="shared" si="15"/>
        <v>0.96153846153846168</v>
      </c>
      <c r="H53" s="490">
        <f t="shared" si="10"/>
        <v>0.14423076923076922</v>
      </c>
      <c r="I53" s="495">
        <v>24</v>
      </c>
      <c r="J53" s="439">
        <f t="shared" si="16"/>
        <v>1.9230769230769234</v>
      </c>
      <c r="K53" s="490">
        <f t="shared" si="12"/>
        <v>3.6057692307692311E-2</v>
      </c>
      <c r="L53" s="496">
        <f t="shared" si="13"/>
        <v>25.175498758950553</v>
      </c>
      <c r="M53" s="497">
        <f t="shared" si="14"/>
        <v>25.370210297412093</v>
      </c>
      <c r="N53" s="870">
        <f t="shared" si="6"/>
        <v>7</v>
      </c>
    </row>
    <row r="54" spans="2:14" hidden="1" x14ac:dyDescent="0.25">
      <c r="B54" s="331" t="str">
        <f t="shared" si="5"/>
        <v>MOGAR</v>
      </c>
      <c r="C54" s="448"/>
      <c r="D54" s="332"/>
      <c r="E54" s="490" t="e">
        <f t="shared" si="8"/>
        <v>#DIV/0!</v>
      </c>
      <c r="F54" s="448"/>
      <c r="G54" s="332"/>
      <c r="H54" s="490" t="e">
        <f t="shared" si="10"/>
        <v>#DIV/0!</v>
      </c>
      <c r="I54" s="448"/>
      <c r="J54" s="332"/>
      <c r="K54" s="490" t="e">
        <f t="shared" si="12"/>
        <v>#DIV/0!</v>
      </c>
      <c r="L54" s="339"/>
      <c r="M54" s="339"/>
      <c r="N54" s="339"/>
    </row>
    <row r="55" spans="2:14" x14ac:dyDescent="0.25">
      <c r="B55" s="908" t="str">
        <f t="shared" si="5"/>
        <v>MUEBLES TINAS</v>
      </c>
      <c r="C55" s="909">
        <v>240</v>
      </c>
      <c r="D55" s="901">
        <f t="shared" si="7"/>
        <v>0.96153846153846168</v>
      </c>
      <c r="E55" s="490">
        <f t="shared" si="8"/>
        <v>4.3269230769230768E-2</v>
      </c>
      <c r="F55" s="909">
        <v>25</v>
      </c>
      <c r="G55" s="901">
        <f>$F$12</f>
        <v>0.96153846153846168</v>
      </c>
      <c r="H55" s="490">
        <f t="shared" si="10"/>
        <v>0.17307692307692307</v>
      </c>
      <c r="I55" s="909">
        <v>16</v>
      </c>
      <c r="J55" s="901">
        <f>$F$13</f>
        <v>1.9230769230769234</v>
      </c>
      <c r="K55" s="490">
        <f t="shared" si="12"/>
        <v>5.4086538461538464E-2</v>
      </c>
      <c r="L55" s="911">
        <f t="shared" si="13"/>
        <v>29.832476749998989</v>
      </c>
      <c r="M55" s="497">
        <f t="shared" si="14"/>
        <v>30.102909442306682</v>
      </c>
      <c r="N55" s="471">
        <f t="shared" si="6"/>
        <v>3</v>
      </c>
    </row>
    <row r="56" spans="2:14" x14ac:dyDescent="0.25">
      <c r="B56" s="446" t="str">
        <f t="shared" si="5"/>
        <v>OFINET</v>
      </c>
      <c r="C56" s="495">
        <v>72</v>
      </c>
      <c r="D56" s="439">
        <f t="shared" si="7"/>
        <v>0.96153846153846168</v>
      </c>
      <c r="E56" s="490">
        <f t="shared" si="8"/>
        <v>0.14423076923076925</v>
      </c>
      <c r="F56" s="495">
        <v>25</v>
      </c>
      <c r="G56" s="439">
        <f t="shared" ref="G56:G59" si="17">$F$12</f>
        <v>0.96153846153846168</v>
      </c>
      <c r="H56" s="490">
        <f t="shared" si="10"/>
        <v>0.17307692307692307</v>
      </c>
      <c r="I56" s="495">
        <v>74</v>
      </c>
      <c r="J56" s="439">
        <f t="shared" ref="J56:J59" si="18">$F$13</f>
        <v>1.9230769230769234</v>
      </c>
      <c r="K56" s="490">
        <f t="shared" si="12"/>
        <v>1.1694386694386695E-2</v>
      </c>
      <c r="L56" s="496">
        <f t="shared" si="13"/>
        <v>28.068820961651632</v>
      </c>
      <c r="M56" s="497">
        <f t="shared" si="14"/>
        <v>28.397823040653712</v>
      </c>
      <c r="N56" s="870">
        <f t="shared" si="6"/>
        <v>4</v>
      </c>
    </row>
    <row r="57" spans="2:14" x14ac:dyDescent="0.25">
      <c r="B57" s="446" t="str">
        <f t="shared" si="5"/>
        <v>OFITA INTERIORES (JOCAFRI)</v>
      </c>
      <c r="C57" s="495">
        <f>24*7</f>
        <v>168</v>
      </c>
      <c r="D57" s="439">
        <f t="shared" si="7"/>
        <v>0.96153846153846168</v>
      </c>
      <c r="E57" s="490">
        <f t="shared" si="8"/>
        <v>6.1813186813186816E-2</v>
      </c>
      <c r="F57" s="495">
        <v>21</v>
      </c>
      <c r="G57" s="439">
        <f t="shared" si="17"/>
        <v>0.96153846153846168</v>
      </c>
      <c r="H57" s="490">
        <f t="shared" si="10"/>
        <v>0.20604395604395603</v>
      </c>
      <c r="I57" s="495">
        <v>48</v>
      </c>
      <c r="J57" s="439">
        <f t="shared" si="18"/>
        <v>1.9230769230769234</v>
      </c>
      <c r="K57" s="490">
        <f t="shared" si="12"/>
        <v>1.8028846153846156E-2</v>
      </c>
      <c r="L57" s="496">
        <f t="shared" si="13"/>
        <v>23.504191796606236</v>
      </c>
      <c r="M57" s="497">
        <f t="shared" si="14"/>
        <v>23.790077785617225</v>
      </c>
      <c r="N57" s="870">
        <f t="shared" si="6"/>
        <v>9</v>
      </c>
    </row>
    <row r="58" spans="2:14" hidden="1" x14ac:dyDescent="0.25">
      <c r="B58" s="331" t="str">
        <f t="shared" si="5"/>
        <v>PAPELERÍA COLÓN</v>
      </c>
      <c r="C58" s="448"/>
      <c r="D58" s="332"/>
      <c r="E58" s="490" t="e">
        <f t="shared" si="8"/>
        <v>#DIV/0!</v>
      </c>
      <c r="F58" s="448"/>
      <c r="G58" s="332"/>
      <c r="H58" s="490" t="e">
        <f t="shared" si="10"/>
        <v>#DIV/0!</v>
      </c>
      <c r="I58" s="448"/>
      <c r="J58" s="332"/>
      <c r="K58" s="490" t="e">
        <f t="shared" si="12"/>
        <v>#DIV/0!</v>
      </c>
      <c r="L58" s="339"/>
      <c r="M58" s="339"/>
      <c r="N58" s="339"/>
    </row>
    <row r="59" spans="2:14" x14ac:dyDescent="0.25">
      <c r="B59" s="446" t="str">
        <f>B36</f>
        <v>RUIZ COLLADO</v>
      </c>
      <c r="C59" s="495">
        <f>20*24</f>
        <v>480</v>
      </c>
      <c r="D59" s="439">
        <f t="shared" si="7"/>
        <v>0.96153846153846168</v>
      </c>
      <c r="E59" s="490">
        <f t="shared" si="8"/>
        <v>2.1634615384615384E-2</v>
      </c>
      <c r="F59" s="495">
        <v>35</v>
      </c>
      <c r="G59" s="439">
        <f t="shared" si="17"/>
        <v>0.96153846153846168</v>
      </c>
      <c r="H59" s="490">
        <f t="shared" si="10"/>
        <v>0.12362637362637362</v>
      </c>
      <c r="I59" s="495">
        <v>1</v>
      </c>
      <c r="J59" s="439">
        <f t="shared" si="18"/>
        <v>1.9230769230769234</v>
      </c>
      <c r="K59" s="490">
        <f t="shared" si="12"/>
        <v>0.86538461538461542</v>
      </c>
      <c r="L59" s="496">
        <f t="shared" si="13"/>
        <v>18.950762669972736</v>
      </c>
      <c r="M59" s="497">
        <f t="shared" si="14"/>
        <v>19.961408274368342</v>
      </c>
      <c r="N59" s="870">
        <f t="shared" si="6"/>
        <v>11</v>
      </c>
    </row>
    <row r="60" spans="2:14" hidden="1" x14ac:dyDescent="0.25">
      <c r="B60" s="331" t="str">
        <f t="shared" si="5"/>
        <v>SERVITEC</v>
      </c>
      <c r="C60" s="448"/>
      <c r="D60" s="332"/>
      <c r="E60" s="332"/>
      <c r="F60" s="448"/>
      <c r="G60" s="332"/>
      <c r="H60" s="490" t="e">
        <f t="shared" si="10"/>
        <v>#DIV/0!</v>
      </c>
      <c r="I60" s="448"/>
      <c r="J60" s="332"/>
      <c r="K60" s="332"/>
      <c r="L60" s="339"/>
      <c r="M60" s="339"/>
      <c r="N60" s="339"/>
    </row>
    <row r="61" spans="2:14" x14ac:dyDescent="0.25">
      <c r="B61" s="925" t="s">
        <v>1128</v>
      </c>
      <c r="C61" s="448">
        <f>MIN(C45:C59)</f>
        <v>24</v>
      </c>
      <c r="D61" s="923"/>
      <c r="E61" s="924"/>
      <c r="F61" s="448">
        <f>MIN(F45:F59)</f>
        <v>10</v>
      </c>
      <c r="G61" s="923"/>
      <c r="H61" s="924"/>
      <c r="I61" s="448">
        <f>MIN(I45:I59)</f>
        <v>1</v>
      </c>
      <c r="J61" s="923"/>
      <c r="K61" s="924"/>
    </row>
    <row r="62" spans="2:14" x14ac:dyDescent="0.25">
      <c r="B62" s="13" t="s">
        <v>1127</v>
      </c>
      <c r="C62" s="1023">
        <f>F11*H5/100</f>
        <v>0.43269230769230771</v>
      </c>
      <c r="D62" s="1024"/>
      <c r="E62" s="1025"/>
      <c r="F62" s="1026">
        <f>F12*$H$5/100</f>
        <v>0.43269230769230771</v>
      </c>
      <c r="G62" s="1027"/>
      <c r="H62" s="1028"/>
      <c r="I62" s="1026">
        <f>F13*$H$5/100</f>
        <v>0.86538461538461542</v>
      </c>
      <c r="J62" s="1027"/>
      <c r="K62" s="1028"/>
    </row>
  </sheetData>
  <mergeCells count="17">
    <mergeCell ref="C62:E62"/>
    <mergeCell ref="F62:H62"/>
    <mergeCell ref="I62:K62"/>
    <mergeCell ref="I18:K18"/>
    <mergeCell ref="L18:N18"/>
    <mergeCell ref="I17:K17"/>
    <mergeCell ref="L17:N17"/>
    <mergeCell ref="C39:K41"/>
    <mergeCell ref="L39:L41"/>
    <mergeCell ref="M39:M42"/>
    <mergeCell ref="N41:N42"/>
    <mergeCell ref="A1:G1"/>
    <mergeCell ref="A4:D4"/>
    <mergeCell ref="C17:E17"/>
    <mergeCell ref="C18:E18"/>
    <mergeCell ref="F17:H17"/>
    <mergeCell ref="F18:H18"/>
  </mergeCells>
  <phoneticPr fontId="0" type="noConversion"/>
  <conditionalFormatting sqref="M45:M60">
    <cfRule type="cellIs" dxfId="16" priority="3" operator="greaterThan">
      <formula>30</formula>
    </cfRule>
  </conditionalFormatting>
  <conditionalFormatting sqref="N45:N59">
    <cfRule type="cellIs" dxfId="15" priority="2" operator="equal">
      <formula>1</formula>
    </cfRule>
  </conditionalFormatting>
  <conditionalFormatting sqref="N51">
    <cfRule type="cellIs" dxfId="14" priority="1" operator="equal">
      <formula>1</formula>
    </cfRule>
  </conditionalFormatting>
  <printOptions horizontalCentered="1"/>
  <pageMargins left="0.35433070866141736" right="0.35433070866141736" top="0.43307086614173229" bottom="0.35433070866141736" header="0.27559055118110237" footer="0"/>
  <pageSetup paperSize="9" scale="62" orientation="landscape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0"/>
  <sheetViews>
    <sheetView zoomScale="85" zoomScaleNormal="85" zoomScaleSheetLayoutView="85" workbookViewId="0">
      <pane xSplit="7" ySplit="1" topLeftCell="X158" activePane="bottomRight" state="frozen"/>
      <selection pane="topRight" activeCell="H1" sqref="H1"/>
      <selection pane="bottomLeft" activeCell="A2" sqref="A2"/>
      <selection pane="bottomRight" activeCell="X173" sqref="X173:X174"/>
    </sheetView>
  </sheetViews>
  <sheetFormatPr baseColWidth="10" defaultRowHeight="13.2" x14ac:dyDescent="0.25"/>
  <cols>
    <col min="1" max="1" width="37.109375" customWidth="1"/>
    <col min="2" max="2" width="49.6640625" bestFit="1" customWidth="1"/>
    <col min="3" max="3" width="8.88671875" style="27" customWidth="1"/>
    <col min="4" max="4" width="5.88671875" style="27" hidden="1" customWidth="1"/>
    <col min="5" max="5" width="6.6640625" style="27" hidden="1" customWidth="1"/>
    <col min="6" max="6" width="5.88671875" style="27" hidden="1" customWidth="1"/>
    <col min="7" max="7" width="7.109375" style="27" hidden="1" customWidth="1"/>
    <col min="8" max="8" width="7.33203125" style="27" customWidth="1"/>
    <col min="9" max="9" width="9.109375" style="27" customWidth="1"/>
    <col min="10" max="10" width="5.5546875" style="27" customWidth="1"/>
    <col min="11" max="11" width="7.109375" style="27" bestFit="1" customWidth="1"/>
    <col min="12" max="12" width="6.6640625" style="27" customWidth="1"/>
    <col min="13" max="13" width="8.44140625" style="27" customWidth="1"/>
    <col min="14" max="14" width="5.109375" style="83" customWidth="1"/>
    <col min="15" max="15" width="6.33203125" style="83" customWidth="1"/>
    <col min="16" max="16" width="7.5546875" style="83" hidden="1" customWidth="1"/>
    <col min="17" max="17" width="4.33203125" style="83" hidden="1" customWidth="1"/>
    <col min="18" max="18" width="4.33203125" style="83" customWidth="1"/>
    <col min="19" max="19" width="5.88671875" style="83" customWidth="1"/>
    <col min="20" max="20" width="4" customWidth="1"/>
    <col min="21" max="21" width="6.33203125" customWidth="1"/>
    <col min="22" max="22" width="4.44140625" customWidth="1"/>
    <col min="23" max="23" width="5.5546875" bestFit="1" customWidth="1"/>
    <col min="24" max="24" width="5" bestFit="1" customWidth="1"/>
    <col min="25" max="25" width="6.5546875" bestFit="1" customWidth="1"/>
    <col min="26" max="26" width="5.109375" hidden="1" customWidth="1"/>
    <col min="27" max="27" width="7.109375" hidden="1" customWidth="1"/>
    <col min="28" max="28" width="4.44140625" customWidth="1"/>
    <col min="29" max="29" width="7.109375" bestFit="1" customWidth="1"/>
    <col min="30" max="30" width="4.88671875" customWidth="1"/>
    <col min="31" max="31" width="5.5546875" bestFit="1" customWidth="1"/>
    <col min="32" max="32" width="5" customWidth="1"/>
    <col min="33" max="33" width="7.6640625" customWidth="1"/>
    <col min="34" max="34" width="3.6640625" hidden="1" customWidth="1"/>
    <col min="35" max="35" width="9" hidden="1" customWidth="1"/>
    <col min="36" max="36" width="4.88671875" customWidth="1"/>
    <col min="37" max="37" width="6" customWidth="1"/>
    <col min="38" max="38" width="4.5546875" hidden="1" customWidth="1"/>
    <col min="39" max="39" width="6.5546875" hidden="1" customWidth="1"/>
  </cols>
  <sheetData>
    <row r="1" spans="1:39" s="409" customFormat="1" ht="55.5" customHeight="1" x14ac:dyDescent="0.25">
      <c r="A1" s="407" t="s">
        <v>5</v>
      </c>
      <c r="B1" s="407" t="s">
        <v>6</v>
      </c>
      <c r="C1" s="408" t="s">
        <v>634</v>
      </c>
      <c r="D1" s="1040" t="str">
        <f>Empresas!$A$30</f>
        <v>ALECOP S. COOP.</v>
      </c>
      <c r="E1" s="1041"/>
      <c r="F1" s="1040" t="str">
        <f>Empresas!$A$31</f>
        <v>ANDALUZA DE PAPELERIA (OFIPAPEL)</v>
      </c>
      <c r="G1" s="1041"/>
      <c r="H1" s="1040" t="str">
        <f>Empresas!$A$32</f>
        <v>BALIPE SUMINISTROS E INSTALACIONES</v>
      </c>
      <c r="I1" s="1041"/>
      <c r="J1" s="1040" t="str">
        <f>Empresas!$A$33</f>
        <v>COMERCIAL DE INDUSTRIAS REUNIDAS</v>
      </c>
      <c r="K1" s="1041"/>
      <c r="L1" s="1040" t="str">
        <f>Empresas!$A$34</f>
        <v>EDUARDO BALLESTEROS S.L</v>
      </c>
      <c r="M1" s="1041"/>
      <c r="N1" s="1040" t="str">
        <f>Empresas!$A$35</f>
        <v>EL CORTE INGLÉS</v>
      </c>
      <c r="O1" s="1041"/>
      <c r="P1" s="1040" t="str">
        <f>Empresas!$A$36</f>
        <v>ESQUITINO</v>
      </c>
      <c r="Q1" s="1041"/>
      <c r="R1" s="1040" t="str">
        <f>Empresas!$A$37</f>
        <v>GRUPO KAT</v>
      </c>
      <c r="S1" s="1041"/>
      <c r="T1" s="1040" t="str">
        <f>Empresas!$A$38</f>
        <v>LAUSAN</v>
      </c>
      <c r="U1" s="1041"/>
      <c r="V1" s="1040" t="str">
        <f>Empresas!$A$39</f>
        <v>MELCO</v>
      </c>
      <c r="W1" s="1041"/>
      <c r="X1" s="1040" t="str">
        <f>Empresas!$A$40</f>
        <v>MOFISER S.L</v>
      </c>
      <c r="Y1" s="1041"/>
      <c r="Z1" s="1040" t="str">
        <f>Empresas!$A$41</f>
        <v>MOGAR</v>
      </c>
      <c r="AA1" s="1041"/>
      <c r="AB1" s="1040" t="str">
        <f>Empresas!$A$42</f>
        <v>MUEBLES TINAS</v>
      </c>
      <c r="AC1" s="1041"/>
      <c r="AD1" s="1040" t="str">
        <f>Empresas!$A$43</f>
        <v>OFINET</v>
      </c>
      <c r="AE1" s="1041"/>
      <c r="AF1" s="1040" t="str">
        <f>Empresas!$A$44</f>
        <v>OFITA INTERIORES (JOCAFRI)</v>
      </c>
      <c r="AG1" s="1041"/>
      <c r="AH1" s="1040" t="str">
        <f>Empresas!$A$45</f>
        <v>PAPELERÍA COLÓN</v>
      </c>
      <c r="AI1" s="1041"/>
      <c r="AJ1" s="1040" t="str">
        <f>Empresas!$A$46</f>
        <v>RUIZ COLLADO</v>
      </c>
      <c r="AK1" s="1041"/>
      <c r="AL1" s="1040" t="str">
        <f>Empresas!$A$47</f>
        <v>SERVITEC</v>
      </c>
      <c r="AM1" s="1041"/>
    </row>
    <row r="2" spans="1:39" x14ac:dyDescent="0.25">
      <c r="A2" s="416" t="s">
        <v>323</v>
      </c>
      <c r="B2" s="186" t="s">
        <v>324</v>
      </c>
      <c r="C2" s="65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65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65"/>
      <c r="AH2" s="184"/>
      <c r="AI2" s="184"/>
      <c r="AJ2" s="184"/>
      <c r="AK2" s="184"/>
      <c r="AL2" s="184"/>
      <c r="AM2" s="65"/>
    </row>
    <row r="3" spans="1:39" x14ac:dyDescent="0.25">
      <c r="A3" s="120" t="s">
        <v>204</v>
      </c>
      <c r="B3" s="119" t="s">
        <v>56</v>
      </c>
      <c r="C3" s="23">
        <v>1</v>
      </c>
      <c r="D3" s="23"/>
      <c r="E3" s="23">
        <f>IF(D3="S",$C3,0)</f>
        <v>0</v>
      </c>
      <c r="F3" s="182"/>
      <c r="G3" s="182">
        <f>IF(F3="S",$C3,0)</f>
        <v>0</v>
      </c>
      <c r="H3" s="182"/>
      <c r="I3" s="976">
        <f>IF(H3="s",$C3,IF(H4="s",$C4,IF(H5="s",$C5,IF(H3=0,"0"))))</f>
        <v>0</v>
      </c>
      <c r="J3" s="434" t="s">
        <v>108</v>
      </c>
      <c r="K3" s="976">
        <f>IF(J3="s",$C3,IF(J4="s",$C4,IF(J5="s",$C5,IF(J3=0,"0"))))</f>
        <v>1</v>
      </c>
      <c r="L3" s="182"/>
      <c r="M3" s="976">
        <f>IF(L3="s",$C3,IF(L4="s",$C4,IF(L5="s",$C5,IF(L3=0,"0"))))</f>
        <v>2</v>
      </c>
      <c r="N3" s="182"/>
      <c r="O3" s="976">
        <f>IF(N3="s",$C3,IF(N4="s",$C4,IF(N5="s",$C5,IF(N3=0,"0"))))</f>
        <v>0</v>
      </c>
      <c r="P3" s="182"/>
      <c r="Q3" s="182">
        <f>IF(P3="S",$C3,0)</f>
        <v>0</v>
      </c>
      <c r="R3" s="23"/>
      <c r="S3" s="976">
        <f>IF(R3="s",$C3,IF(R4="s",$C4,IF(R5="s",$C5,IF(R3=0,"0"))))</f>
        <v>2</v>
      </c>
      <c r="T3" s="182"/>
      <c r="U3" s="976">
        <f>IF(T3="s",$C3,IF(T4="s",$C4,IF(T5="s",$C5,IF(T3=0,"0"))))</f>
        <v>2</v>
      </c>
      <c r="V3" s="182"/>
      <c r="W3" s="976">
        <f>IF(V3="s",$C3,IF(V4="s",$C4,IF(V5="s",$C5,IF(V3=0,"0"))))</f>
        <v>2</v>
      </c>
      <c r="X3" s="182"/>
      <c r="Y3" s="976">
        <f>IF(X3="s",$C3,IF(X4="s",$C4,IF(X5="s",$C5,IF(X3=0,"0"))))</f>
        <v>2</v>
      </c>
      <c r="Z3" s="182"/>
      <c r="AA3" s="182">
        <f>IF(Z3="S",$C3,0)</f>
        <v>0</v>
      </c>
      <c r="AB3" s="182"/>
      <c r="AC3" s="976">
        <f>IF(AB3="s",$C3,IF(AB4="s",$C4,IF(AB5="s",$C5,IF(AB3=0,"0"))))</f>
        <v>2</v>
      </c>
      <c r="AD3" s="182"/>
      <c r="AE3" s="976">
        <f>IF(AD3="s",$C3,IF(AD4="s",$C4,IF(AD5="s",$C5,IF(AD3=0,"0"))))</f>
        <v>0</v>
      </c>
      <c r="AF3" s="116"/>
      <c r="AG3" s="976">
        <f>IF(AF3="s",$C3,IF(AF4="s",$C4,IF(AF5="s",$C5,IF(AF3=0,"0"))))</f>
        <v>0</v>
      </c>
      <c r="AH3" s="182"/>
      <c r="AI3" s="182">
        <f>IF(AH3="S",$C3,0)</f>
        <v>0</v>
      </c>
      <c r="AJ3" s="462" t="s">
        <v>108</v>
      </c>
      <c r="AK3" s="976">
        <f>IF(AJ3="s",$C3,IF(AJ4="s",$C4,IF(AJ5="s",$C5,IF(AJ3=0,"0"))))</f>
        <v>1</v>
      </c>
      <c r="AL3" s="116"/>
      <c r="AM3" s="116">
        <f>IF(AL3="S",$C3,0)</f>
        <v>0</v>
      </c>
    </row>
    <row r="4" spans="1:39" x14ac:dyDescent="0.25">
      <c r="A4" s="399">
        <v>2</v>
      </c>
      <c r="B4" s="119" t="s">
        <v>57</v>
      </c>
      <c r="C4" s="23">
        <v>2</v>
      </c>
      <c r="D4" s="23"/>
      <c r="E4" s="23">
        <f>IF(D4="S",$C4,0)</f>
        <v>0</v>
      </c>
      <c r="F4" s="182"/>
      <c r="G4" s="182">
        <f>IF(F4="S",$C4,0)</f>
        <v>0</v>
      </c>
      <c r="H4" s="182"/>
      <c r="I4" s="977"/>
      <c r="J4" s="182"/>
      <c r="K4" s="977"/>
      <c r="L4" s="355" t="s">
        <v>108</v>
      </c>
      <c r="M4" s="977"/>
      <c r="N4" s="182"/>
      <c r="O4" s="977"/>
      <c r="P4" s="182"/>
      <c r="Q4" s="182">
        <f>IF(P4="S",$C4,0)</f>
        <v>0</v>
      </c>
      <c r="R4" s="464" t="s">
        <v>108</v>
      </c>
      <c r="S4" s="977"/>
      <c r="T4" s="405" t="s">
        <v>108</v>
      </c>
      <c r="U4" s="977"/>
      <c r="V4" s="462" t="s">
        <v>108</v>
      </c>
      <c r="W4" s="977"/>
      <c r="X4" s="952" t="s">
        <v>108</v>
      </c>
      <c r="Y4" s="977"/>
      <c r="Z4" s="182"/>
      <c r="AA4" s="182">
        <f>IF(Z4="S",$C4,0)</f>
        <v>0</v>
      </c>
      <c r="AB4" s="355" t="s">
        <v>108</v>
      </c>
      <c r="AC4" s="977"/>
      <c r="AD4" s="462"/>
      <c r="AE4" s="977"/>
      <c r="AF4" s="116"/>
      <c r="AG4" s="977"/>
      <c r="AH4" s="182"/>
      <c r="AI4" s="182">
        <f>IF(AH4="S",$C4,0)</f>
        <v>0</v>
      </c>
      <c r="AJ4" s="182"/>
      <c r="AK4" s="977"/>
      <c r="AL4" s="116"/>
      <c r="AM4" s="116">
        <f>IF(AL4="S",$C4,0)</f>
        <v>0</v>
      </c>
    </row>
    <row r="5" spans="1:39" x14ac:dyDescent="0.25">
      <c r="A5" s="400"/>
      <c r="B5" s="119" t="s">
        <v>58</v>
      </c>
      <c r="C5" s="23">
        <v>0</v>
      </c>
      <c r="D5" s="23"/>
      <c r="E5" s="23">
        <f>IF(D5="S",$C5,0)</f>
        <v>0</v>
      </c>
      <c r="F5" s="182"/>
      <c r="G5" s="182">
        <f>IF(F5="S",$C5,0)</f>
        <v>0</v>
      </c>
      <c r="H5" s="405" t="s">
        <v>108</v>
      </c>
      <c r="I5" s="978"/>
      <c r="J5" s="182"/>
      <c r="K5" s="978"/>
      <c r="L5" s="182"/>
      <c r="M5" s="978"/>
      <c r="N5" s="355" t="s">
        <v>108</v>
      </c>
      <c r="O5" s="978"/>
      <c r="P5" s="182"/>
      <c r="Q5" s="182">
        <f>IF(P5="S",$C5,0)</f>
        <v>0</v>
      </c>
      <c r="R5" s="23"/>
      <c r="S5" s="978"/>
      <c r="T5" s="182"/>
      <c r="U5" s="978"/>
      <c r="V5" s="182"/>
      <c r="W5" s="978"/>
      <c r="X5" s="355"/>
      <c r="Y5" s="978"/>
      <c r="Z5" s="182"/>
      <c r="AA5" s="182">
        <f>IF(Z5="S",$C5,0)</f>
        <v>0</v>
      </c>
      <c r="AB5" s="182"/>
      <c r="AC5" s="978"/>
      <c r="AD5" s="498" t="s">
        <v>108</v>
      </c>
      <c r="AE5" s="978"/>
      <c r="AF5" s="403" t="s">
        <v>108</v>
      </c>
      <c r="AG5" s="978"/>
      <c r="AH5" s="182"/>
      <c r="AI5" s="182">
        <f>IF(AH5="S",$C5,0)</f>
        <v>0</v>
      </c>
      <c r="AJ5" s="182"/>
      <c r="AK5" s="978"/>
      <c r="AL5" s="116"/>
      <c r="AM5" s="116">
        <f>IF(AL5="S",$C5,0)</f>
        <v>0</v>
      </c>
    </row>
    <row r="6" spans="1:39" x14ac:dyDescent="0.25">
      <c r="A6" s="124" t="s">
        <v>203</v>
      </c>
      <c r="B6" s="394" t="s">
        <v>59</v>
      </c>
      <c r="C6" s="26">
        <v>1.5</v>
      </c>
      <c r="D6" s="26"/>
      <c r="E6" s="76">
        <f t="shared" ref="E6:E11" si="0">IF(D6="S",$C6,0)</f>
        <v>0</v>
      </c>
      <c r="F6" s="181"/>
      <c r="G6" s="181">
        <f t="shared" ref="G6:G11" si="1">IF(F6="S",$C6,0)</f>
        <v>0</v>
      </c>
      <c r="H6" s="181" t="s">
        <v>108</v>
      </c>
      <c r="I6" s="181">
        <f t="shared" ref="I6:I11" si="2">IF(H6="S",$C6,0)</f>
        <v>1.5</v>
      </c>
      <c r="J6" s="181"/>
      <c r="K6" s="181">
        <f t="shared" ref="K6:K11" si="3">IF(J6="S",$C6,0)</f>
        <v>0</v>
      </c>
      <c r="L6" s="413" t="s">
        <v>108</v>
      </c>
      <c r="M6" s="181">
        <f t="shared" ref="M6:M11" si="4">IF(L6="S",$C6,0)</f>
        <v>1.5</v>
      </c>
      <c r="N6" s="413" t="s">
        <v>108</v>
      </c>
      <c r="O6" s="181">
        <f t="shared" ref="O6:O11" si="5">IF(N6="S",$C6,0)</f>
        <v>1.5</v>
      </c>
      <c r="P6" s="181"/>
      <c r="Q6" s="181">
        <f t="shared" ref="Q6:Q11" si="6">IF(P6="S",$C6,0)</f>
        <v>0</v>
      </c>
      <c r="R6" s="181"/>
      <c r="S6" s="181">
        <f t="shared" ref="S6:S11" si="7">IF(R6="S",$C6,0)</f>
        <v>0</v>
      </c>
      <c r="T6" s="181" t="s">
        <v>108</v>
      </c>
      <c r="U6" s="181">
        <f t="shared" ref="U6:U11" si="8">IF(T6="S",$C6,0)</f>
        <v>1.5</v>
      </c>
      <c r="V6" s="181" t="s">
        <v>108</v>
      </c>
      <c r="W6" s="181">
        <f t="shared" ref="W6:W11" si="9">IF(V6="S",$C6,0)</f>
        <v>1.5</v>
      </c>
      <c r="X6" s="413" t="s">
        <v>108</v>
      </c>
      <c r="Y6" s="181">
        <f t="shared" ref="Y6:Y11" si="10">IF(X6="S",$C6,0)</f>
        <v>1.5</v>
      </c>
      <c r="Z6" s="181"/>
      <c r="AA6" s="181">
        <f t="shared" ref="AA6:AA11" si="11">IF(Z6="S",$C6,0)</f>
        <v>0</v>
      </c>
      <c r="AB6" s="413" t="s">
        <v>108</v>
      </c>
      <c r="AC6" s="181">
        <f t="shared" ref="AC6:AC11" si="12">IF(AB6="S",$C6,0)</f>
        <v>1.5</v>
      </c>
      <c r="AD6" s="181" t="s">
        <v>108</v>
      </c>
      <c r="AE6" s="181">
        <f t="shared" ref="AE6:AE11" si="13">IF(AD6="S",$C6,0)</f>
        <v>1.5</v>
      </c>
      <c r="AF6" s="413" t="s">
        <v>108</v>
      </c>
      <c r="AG6" s="181">
        <f t="shared" ref="AG6:AG11" si="14">IF(AF6="S",$C6,0)</f>
        <v>1.5</v>
      </c>
      <c r="AH6" s="181"/>
      <c r="AI6" s="181">
        <f t="shared" ref="AI6:AI11" si="15">IF(AH6="S",$C6,0)</f>
        <v>0</v>
      </c>
      <c r="AJ6" s="181"/>
      <c r="AK6" s="181">
        <f t="shared" ref="AK6:AK11" si="16">IF(AJ6="S",$C6,0)</f>
        <v>0</v>
      </c>
      <c r="AL6" s="181"/>
      <c r="AM6" s="181">
        <f t="shared" ref="AM6:AM11" si="17">IF(AL6="S",$C6,0)</f>
        <v>0</v>
      </c>
    </row>
    <row r="7" spans="1:39" x14ac:dyDescent="0.25">
      <c r="A7" s="107">
        <v>5</v>
      </c>
      <c r="B7" s="105" t="s">
        <v>60</v>
      </c>
      <c r="C7" s="26">
        <v>0.5</v>
      </c>
      <c r="D7" s="187"/>
      <c r="E7" s="76">
        <f t="shared" si="0"/>
        <v>0</v>
      </c>
      <c r="F7" s="181"/>
      <c r="G7" s="181">
        <f t="shared" si="1"/>
        <v>0</v>
      </c>
      <c r="H7" s="181" t="s">
        <v>108</v>
      </c>
      <c r="I7" s="181">
        <f t="shared" si="2"/>
        <v>0.5</v>
      </c>
      <c r="J7" s="181" t="s">
        <v>108</v>
      </c>
      <c r="K7" s="181">
        <f t="shared" si="3"/>
        <v>0.5</v>
      </c>
      <c r="L7" s="413" t="s">
        <v>108</v>
      </c>
      <c r="M7" s="181">
        <f t="shared" si="4"/>
        <v>0.5</v>
      </c>
      <c r="N7" s="413" t="s">
        <v>108</v>
      </c>
      <c r="O7" s="181">
        <f t="shared" si="5"/>
        <v>0.5</v>
      </c>
      <c r="P7" s="181"/>
      <c r="Q7" s="181">
        <f t="shared" si="6"/>
        <v>0</v>
      </c>
      <c r="R7" s="181" t="s">
        <v>108</v>
      </c>
      <c r="S7" s="181">
        <f t="shared" si="7"/>
        <v>0.5</v>
      </c>
      <c r="T7" s="181" t="s">
        <v>108</v>
      </c>
      <c r="U7" s="181">
        <f t="shared" si="8"/>
        <v>0.5</v>
      </c>
      <c r="V7" s="181" t="s">
        <v>108</v>
      </c>
      <c r="W7" s="181">
        <f t="shared" si="9"/>
        <v>0.5</v>
      </c>
      <c r="X7" s="413" t="s">
        <v>108</v>
      </c>
      <c r="Y7" s="181">
        <f t="shared" si="10"/>
        <v>0.5</v>
      </c>
      <c r="Z7" s="181"/>
      <c r="AA7" s="181">
        <f t="shared" si="11"/>
        <v>0</v>
      </c>
      <c r="AB7" s="413" t="s">
        <v>108</v>
      </c>
      <c r="AC7" s="181">
        <f t="shared" si="12"/>
        <v>0.5</v>
      </c>
      <c r="AD7" s="181" t="s">
        <v>108</v>
      </c>
      <c r="AE7" s="181">
        <f t="shared" si="13"/>
        <v>0.5</v>
      </c>
      <c r="AF7" s="413" t="s">
        <v>108</v>
      </c>
      <c r="AG7" s="181">
        <f t="shared" si="14"/>
        <v>0.5</v>
      </c>
      <c r="AH7" s="181"/>
      <c r="AI7" s="181">
        <f t="shared" si="15"/>
        <v>0</v>
      </c>
      <c r="AJ7" s="181" t="s">
        <v>108</v>
      </c>
      <c r="AK7" s="181">
        <f t="shared" si="16"/>
        <v>0.5</v>
      </c>
      <c r="AL7" s="181"/>
      <c r="AM7" s="181">
        <f t="shared" si="17"/>
        <v>0</v>
      </c>
    </row>
    <row r="8" spans="1:39" x14ac:dyDescent="0.25">
      <c r="A8" s="395"/>
      <c r="B8" s="105" t="s">
        <v>61</v>
      </c>
      <c r="C8" s="26">
        <v>1</v>
      </c>
      <c r="D8" s="26"/>
      <c r="E8" s="76">
        <f t="shared" si="0"/>
        <v>0</v>
      </c>
      <c r="F8" s="181"/>
      <c r="G8" s="181">
        <f t="shared" si="1"/>
        <v>0</v>
      </c>
      <c r="H8" s="181"/>
      <c r="I8" s="181">
        <f t="shared" si="2"/>
        <v>0</v>
      </c>
      <c r="J8" s="181" t="s">
        <v>108</v>
      </c>
      <c r="K8" s="181">
        <f t="shared" si="3"/>
        <v>1</v>
      </c>
      <c r="L8" s="413" t="s">
        <v>108</v>
      </c>
      <c r="M8" s="181">
        <f t="shared" si="4"/>
        <v>1</v>
      </c>
      <c r="N8" s="413" t="s">
        <v>108</v>
      </c>
      <c r="O8" s="181">
        <f t="shared" si="5"/>
        <v>1</v>
      </c>
      <c r="P8" s="181"/>
      <c r="Q8" s="181">
        <f t="shared" si="6"/>
        <v>0</v>
      </c>
      <c r="R8" s="181"/>
      <c r="S8" s="181">
        <f t="shared" si="7"/>
        <v>0</v>
      </c>
      <c r="T8" s="181" t="s">
        <v>108</v>
      </c>
      <c r="U8" s="181">
        <f t="shared" si="8"/>
        <v>1</v>
      </c>
      <c r="V8" s="413" t="s">
        <v>108</v>
      </c>
      <c r="W8" s="181">
        <f t="shared" si="9"/>
        <v>1</v>
      </c>
      <c r="X8" s="413" t="s">
        <v>108</v>
      </c>
      <c r="Y8" s="181">
        <f t="shared" si="10"/>
        <v>1</v>
      </c>
      <c r="Z8" s="181"/>
      <c r="AA8" s="181">
        <f t="shared" si="11"/>
        <v>0</v>
      </c>
      <c r="AB8" s="413" t="s">
        <v>108</v>
      </c>
      <c r="AC8" s="181">
        <f t="shared" si="12"/>
        <v>1</v>
      </c>
      <c r="AD8" s="413" t="s">
        <v>108</v>
      </c>
      <c r="AE8" s="181">
        <f t="shared" si="13"/>
        <v>1</v>
      </c>
      <c r="AF8" s="413" t="s">
        <v>108</v>
      </c>
      <c r="AG8" s="181">
        <f t="shared" si="14"/>
        <v>1</v>
      </c>
      <c r="AH8" s="181"/>
      <c r="AI8" s="181">
        <f t="shared" si="15"/>
        <v>0</v>
      </c>
      <c r="AJ8" s="181"/>
      <c r="AK8" s="181">
        <f t="shared" si="16"/>
        <v>0</v>
      </c>
      <c r="AL8" s="181"/>
      <c r="AM8" s="181">
        <f t="shared" si="17"/>
        <v>0</v>
      </c>
    </row>
    <row r="9" spans="1:39" x14ac:dyDescent="0.25">
      <c r="A9" s="395"/>
      <c r="B9" s="105" t="s">
        <v>62</v>
      </c>
      <c r="C9" s="26">
        <v>1</v>
      </c>
      <c r="D9" s="26"/>
      <c r="E9" s="76">
        <f t="shared" si="0"/>
        <v>0</v>
      </c>
      <c r="F9" s="181"/>
      <c r="G9" s="181">
        <f t="shared" si="1"/>
        <v>0</v>
      </c>
      <c r="H9" s="413" t="s">
        <v>642</v>
      </c>
      <c r="I9" s="181">
        <f t="shared" si="2"/>
        <v>0</v>
      </c>
      <c r="J9" s="181"/>
      <c r="K9" s="181">
        <f t="shared" si="3"/>
        <v>0</v>
      </c>
      <c r="L9" s="413" t="s">
        <v>108</v>
      </c>
      <c r="M9" s="181">
        <f t="shared" si="4"/>
        <v>1</v>
      </c>
      <c r="N9" s="413" t="s">
        <v>108</v>
      </c>
      <c r="O9" s="181">
        <f t="shared" si="5"/>
        <v>1</v>
      </c>
      <c r="P9" s="181"/>
      <c r="Q9" s="181">
        <f t="shared" si="6"/>
        <v>0</v>
      </c>
      <c r="R9" s="181" t="s">
        <v>108</v>
      </c>
      <c r="S9" s="181">
        <f t="shared" si="7"/>
        <v>1</v>
      </c>
      <c r="T9" s="181" t="s">
        <v>108</v>
      </c>
      <c r="U9" s="181">
        <f t="shared" si="8"/>
        <v>1</v>
      </c>
      <c r="V9" s="181" t="s">
        <v>108</v>
      </c>
      <c r="W9" s="181">
        <f t="shared" si="9"/>
        <v>1</v>
      </c>
      <c r="X9" s="413" t="s">
        <v>108</v>
      </c>
      <c r="Y9" s="181">
        <f t="shared" si="10"/>
        <v>1</v>
      </c>
      <c r="Z9" s="181"/>
      <c r="AA9" s="181">
        <f t="shared" si="11"/>
        <v>0</v>
      </c>
      <c r="AB9" s="413" t="s">
        <v>108</v>
      </c>
      <c r="AC9" s="181">
        <f t="shared" si="12"/>
        <v>1</v>
      </c>
      <c r="AD9" s="181" t="s">
        <v>108</v>
      </c>
      <c r="AE9" s="181">
        <f t="shared" si="13"/>
        <v>1</v>
      </c>
      <c r="AF9" s="413" t="s">
        <v>108</v>
      </c>
      <c r="AG9" s="181">
        <f t="shared" si="14"/>
        <v>1</v>
      </c>
      <c r="AH9" s="181"/>
      <c r="AI9" s="181">
        <f t="shared" si="15"/>
        <v>0</v>
      </c>
      <c r="AJ9" s="181"/>
      <c r="AK9" s="181">
        <f t="shared" si="16"/>
        <v>0</v>
      </c>
      <c r="AL9" s="181"/>
      <c r="AM9" s="181">
        <f t="shared" si="17"/>
        <v>0</v>
      </c>
    </row>
    <row r="10" spans="1:39" x14ac:dyDescent="0.25">
      <c r="A10" s="395"/>
      <c r="B10" s="105" t="s">
        <v>63</v>
      </c>
      <c r="C10" s="26">
        <v>1</v>
      </c>
      <c r="D10" s="26"/>
      <c r="E10" s="76">
        <f t="shared" si="0"/>
        <v>0</v>
      </c>
      <c r="F10" s="181"/>
      <c r="G10" s="181">
        <f t="shared" si="1"/>
        <v>0</v>
      </c>
      <c r="H10" s="181"/>
      <c r="I10" s="181">
        <f t="shared" si="2"/>
        <v>0</v>
      </c>
      <c r="J10" s="181" t="s">
        <v>667</v>
      </c>
      <c r="K10" s="181">
        <f t="shared" si="3"/>
        <v>0</v>
      </c>
      <c r="L10" s="413" t="s">
        <v>108</v>
      </c>
      <c r="M10" s="181">
        <f t="shared" si="4"/>
        <v>1</v>
      </c>
      <c r="N10" s="413" t="s">
        <v>108</v>
      </c>
      <c r="O10" s="181">
        <f t="shared" si="5"/>
        <v>1</v>
      </c>
      <c r="P10" s="181"/>
      <c r="Q10" s="181">
        <f t="shared" si="6"/>
        <v>0</v>
      </c>
      <c r="R10" s="181" t="s">
        <v>108</v>
      </c>
      <c r="S10" s="181">
        <f t="shared" si="7"/>
        <v>1</v>
      </c>
      <c r="T10" s="181" t="s">
        <v>108</v>
      </c>
      <c r="U10" s="181">
        <f t="shared" si="8"/>
        <v>1</v>
      </c>
      <c r="V10" s="181" t="s">
        <v>108</v>
      </c>
      <c r="W10" s="181">
        <f t="shared" si="9"/>
        <v>1</v>
      </c>
      <c r="X10" s="413" t="s">
        <v>108</v>
      </c>
      <c r="Y10" s="181">
        <f t="shared" si="10"/>
        <v>1</v>
      </c>
      <c r="Z10" s="181"/>
      <c r="AA10" s="181">
        <f t="shared" si="11"/>
        <v>0</v>
      </c>
      <c r="AB10" s="413" t="s">
        <v>108</v>
      </c>
      <c r="AC10" s="181">
        <f t="shared" si="12"/>
        <v>1</v>
      </c>
      <c r="AD10" s="181" t="s">
        <v>108</v>
      </c>
      <c r="AE10" s="181">
        <f t="shared" si="13"/>
        <v>1</v>
      </c>
      <c r="AF10" s="413" t="s">
        <v>108</v>
      </c>
      <c r="AG10" s="181">
        <f t="shared" si="14"/>
        <v>1</v>
      </c>
      <c r="AH10" s="181"/>
      <c r="AI10" s="181">
        <f t="shared" si="15"/>
        <v>0</v>
      </c>
      <c r="AJ10" s="181" t="s">
        <v>108</v>
      </c>
      <c r="AK10" s="181">
        <f t="shared" si="16"/>
        <v>1</v>
      </c>
      <c r="AL10" s="181"/>
      <c r="AM10" s="181">
        <f t="shared" si="17"/>
        <v>0</v>
      </c>
    </row>
    <row r="11" spans="1:39" x14ac:dyDescent="0.25">
      <c r="A11" s="396"/>
      <c r="B11" s="105" t="s">
        <v>64</v>
      </c>
      <c r="C11" s="26">
        <v>0</v>
      </c>
      <c r="D11" s="26"/>
      <c r="E11" s="76">
        <f t="shared" si="0"/>
        <v>0</v>
      </c>
      <c r="F11" s="181"/>
      <c r="G11" s="181">
        <f t="shared" si="1"/>
        <v>0</v>
      </c>
      <c r="H11" s="181" t="s">
        <v>108</v>
      </c>
      <c r="I11" s="181">
        <f t="shared" si="2"/>
        <v>0</v>
      </c>
      <c r="J11" s="181" t="s">
        <v>108</v>
      </c>
      <c r="K11" s="181">
        <f t="shared" si="3"/>
        <v>0</v>
      </c>
      <c r="L11" s="181"/>
      <c r="M11" s="181">
        <f t="shared" si="4"/>
        <v>0</v>
      </c>
      <c r="N11" s="181"/>
      <c r="O11" s="181">
        <f t="shared" si="5"/>
        <v>0</v>
      </c>
      <c r="P11" s="181"/>
      <c r="Q11" s="181">
        <f t="shared" si="6"/>
        <v>0</v>
      </c>
      <c r="R11" s="181"/>
      <c r="S11" s="181">
        <f t="shared" si="7"/>
        <v>0</v>
      </c>
      <c r="T11" s="181"/>
      <c r="U11" s="181">
        <f t="shared" si="8"/>
        <v>0</v>
      </c>
      <c r="V11" s="181"/>
      <c r="W11" s="181">
        <f t="shared" si="9"/>
        <v>0</v>
      </c>
      <c r="X11" s="181"/>
      <c r="Y11" s="181">
        <f t="shared" si="10"/>
        <v>0</v>
      </c>
      <c r="Z11" s="181"/>
      <c r="AA11" s="181">
        <f t="shared" si="11"/>
        <v>0</v>
      </c>
      <c r="AB11" s="181"/>
      <c r="AC11" s="181">
        <f t="shared" si="12"/>
        <v>0</v>
      </c>
      <c r="AD11" s="181"/>
      <c r="AE11" s="181">
        <f t="shared" si="13"/>
        <v>0</v>
      </c>
      <c r="AF11" s="181"/>
      <c r="AG11" s="181">
        <f t="shared" si="14"/>
        <v>0</v>
      </c>
      <c r="AH11" s="181"/>
      <c r="AI11" s="181">
        <f t="shared" si="15"/>
        <v>0</v>
      </c>
      <c r="AJ11" s="181"/>
      <c r="AK11" s="181">
        <f t="shared" si="16"/>
        <v>0</v>
      </c>
      <c r="AL11" s="181"/>
      <c r="AM11" s="181">
        <f t="shared" si="17"/>
        <v>0</v>
      </c>
    </row>
    <row r="12" spans="1:39" x14ac:dyDescent="0.25">
      <c r="A12" s="397" t="s">
        <v>198</v>
      </c>
      <c r="B12" s="415" t="s">
        <v>636</v>
      </c>
      <c r="C12" s="23">
        <f>A13</f>
        <v>1</v>
      </c>
      <c r="D12" s="1029"/>
      <c r="E12" s="1029" t="str">
        <f>IF(D12&gt;3.9,$C12,IF(D12&gt;0,$C13,IF(D12=0,"0")))</f>
        <v>0</v>
      </c>
      <c r="F12" s="976"/>
      <c r="G12" s="976" t="str">
        <f>IF(F12&gt;3.9,$C12,IF(F12&gt;0,$C13,IF(F12=0,"0")))</f>
        <v>0</v>
      </c>
      <c r="H12" s="976">
        <v>8</v>
      </c>
      <c r="I12" s="976">
        <f>IF(H12&gt;9.9,$C12,IF(H12&gt;0,$C13,IF(H12=0,"0")))</f>
        <v>0</v>
      </c>
      <c r="J12" s="976">
        <v>9</v>
      </c>
      <c r="K12" s="976">
        <f>IF(J12&gt;9.9,$C12,IF(J12&gt;0,$C13,IF(J12=0,"0")))</f>
        <v>0</v>
      </c>
      <c r="L12" s="976">
        <v>10</v>
      </c>
      <c r="M12" s="976">
        <f>IF(L12&gt;9.9,$C12,IF(L12&gt;0,$C13,IF(L12=0,"0")))</f>
        <v>1</v>
      </c>
      <c r="N12" s="976">
        <v>11.5</v>
      </c>
      <c r="O12" s="976">
        <f>IF(N12&gt;9.9,$C12,IF(N12&gt;0,$C13,IF(N12=0,"0")))</f>
        <v>1</v>
      </c>
      <c r="P12" s="976"/>
      <c r="Q12" s="976" t="str">
        <f>IF(P12&gt;3.9,$C12,IF(P12&gt;0,$C13,IF(P12=0,"0")))</f>
        <v>0</v>
      </c>
      <c r="R12" s="1029">
        <v>8.6</v>
      </c>
      <c r="S12" s="976">
        <f>IF(R12&gt;9.9,$C12,IF(R12&gt;0,$C13,IF(R12=0,"0")))</f>
        <v>0</v>
      </c>
      <c r="T12" s="976">
        <v>11</v>
      </c>
      <c r="U12" s="976">
        <f>IF(T12&gt;9.9,$C12,IF(T12&gt;0,$C13,IF(T12=0,"0")))</f>
        <v>1</v>
      </c>
      <c r="V12" s="976">
        <v>10</v>
      </c>
      <c r="W12" s="976">
        <f>IF(V12&gt;9.9,$C12,IF(V12&gt;0,$C13,IF(V12=0,"0")))</f>
        <v>1</v>
      </c>
      <c r="X12" s="976">
        <v>10</v>
      </c>
      <c r="Y12" s="976">
        <f>IF(X12&gt;9.9,$C12,IF(X12&gt;0,$C13,IF(X12=0,"0")))</f>
        <v>1</v>
      </c>
      <c r="Z12" s="976"/>
      <c r="AA12" s="976" t="str">
        <f>IF(Z12&gt;3.9,$C12,IF(Z12&gt;0,$C13,IF(Z12=0,"0")))</f>
        <v>0</v>
      </c>
      <c r="AB12" s="976">
        <v>11</v>
      </c>
      <c r="AC12" s="976">
        <f>IF(AB12&gt;9.9,$C12,IF(AB12&gt;0,$C13,IF(AB12=0,"0")))</f>
        <v>1</v>
      </c>
      <c r="AD12" s="1029">
        <v>9</v>
      </c>
      <c r="AE12" s="976">
        <f>IF(AD12&gt;9.9,$C12,IF(AD12&gt;0,$C13,IF(AD12=0,"0")))</f>
        <v>0</v>
      </c>
      <c r="AF12" s="976">
        <v>9.5</v>
      </c>
      <c r="AG12" s="976">
        <f>IF(AF12&gt;9.9,$C12,IF(AF12&gt;0,$C13,IF(AF12=0,"0")))</f>
        <v>0</v>
      </c>
      <c r="AH12" s="976"/>
      <c r="AI12" s="976" t="str">
        <f>IF(AH12&gt;9.9,$C12,IF(AH12&gt;0,$C13,IF(AH12=0,"0")))</f>
        <v>0</v>
      </c>
      <c r="AJ12" s="976">
        <v>8</v>
      </c>
      <c r="AK12" s="976">
        <f>IF(AJ12&gt;9.9,$C12,IF(AJ12&gt;0,$C13,IF(AJ12=0,"0")))</f>
        <v>0</v>
      </c>
      <c r="AL12" s="1029"/>
      <c r="AM12" s="1029" t="str">
        <f>IF(AL12&gt;3.9,$C12,IF(AL12&gt;0,$C13,IF(AL12=0,"0")))</f>
        <v>0</v>
      </c>
    </row>
    <row r="13" spans="1:39" x14ac:dyDescent="0.25">
      <c r="A13" s="397">
        <v>1</v>
      </c>
      <c r="B13" s="415" t="s">
        <v>635</v>
      </c>
      <c r="C13" s="23">
        <v>0</v>
      </c>
      <c r="D13" s="1030"/>
      <c r="E13" s="1030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1030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1030"/>
      <c r="AE13" s="977"/>
      <c r="AF13" s="977"/>
      <c r="AG13" s="977"/>
      <c r="AH13" s="977"/>
      <c r="AI13" s="977"/>
      <c r="AJ13" s="977"/>
      <c r="AK13" s="977"/>
      <c r="AL13" s="1030"/>
      <c r="AM13" s="1030"/>
    </row>
    <row r="14" spans="1:39" x14ac:dyDescent="0.25">
      <c r="A14" s="124" t="s">
        <v>199</v>
      </c>
      <c r="B14" s="307" t="s">
        <v>637</v>
      </c>
      <c r="C14" s="76">
        <f>A15</f>
        <v>1</v>
      </c>
      <c r="D14" s="979"/>
      <c r="E14" s="979" t="str">
        <f>IF(D14&gt;19,$C14,IF(D14&gt;0,$C15,IF(D14=0,"0")))</f>
        <v>0</v>
      </c>
      <c r="F14" s="1038"/>
      <c r="G14" s="1038" t="str">
        <f>IF(F14&gt;19,$C14,IF(F14&gt;0,$C15,IF(F14=0,"0")))</f>
        <v>0</v>
      </c>
      <c r="H14" s="1038">
        <v>24</v>
      </c>
      <c r="I14" s="1038">
        <f>IF(H14&gt;19.9,$C14,IF(H14&gt;0,$C15,IF(H14=0,"0")))</f>
        <v>1</v>
      </c>
      <c r="J14" s="1038">
        <v>22</v>
      </c>
      <c r="K14" s="1038">
        <f>IF(J14&gt;19.9,$C14,IF(J14&gt;0,$C15,IF(J14=0,"0")))</f>
        <v>1</v>
      </c>
      <c r="L14" s="1038">
        <v>23.5</v>
      </c>
      <c r="M14" s="1038">
        <f>IF(L14&gt;19.9,$C14,IF(L14&gt;0,$C15,IF(L14=0,"0")))</f>
        <v>1</v>
      </c>
      <c r="N14" s="1038">
        <v>23.5</v>
      </c>
      <c r="O14" s="1038">
        <f>IF(N14&gt;19.9,$C14,IF(N14&gt;0,$C15,IF(N14=0,"0")))</f>
        <v>1</v>
      </c>
      <c r="P14" s="1038"/>
      <c r="Q14" s="1038" t="str">
        <f>IF(P14&gt;19,$C14,IF(P14&gt;0,$C15,IF(P14=0,"0")))</f>
        <v>0</v>
      </c>
      <c r="R14" s="1038">
        <v>26</v>
      </c>
      <c r="S14" s="1038">
        <f>IF(R14&gt;19.9,$C14,IF(R14&gt;0,$C15,IF(R14=0,"0")))</f>
        <v>1</v>
      </c>
      <c r="T14" s="1038">
        <v>22.5</v>
      </c>
      <c r="U14" s="1038">
        <f>IF(T14&gt;19.9,$C14,IF(T14&gt;0,$C15,IF(T14=0,"0")))</f>
        <v>1</v>
      </c>
      <c r="V14" s="1038">
        <v>21</v>
      </c>
      <c r="W14" s="1038">
        <f>IF(V14&gt;19.9,$C14,IF(V14&gt;0,$C15,IF(V14=0,"0")))</f>
        <v>1</v>
      </c>
      <c r="X14" s="1038">
        <v>20</v>
      </c>
      <c r="Y14" s="1038">
        <f>IF(X14&gt;19.9,$C14,IF(X14&gt;0,$C15,IF(X14=0,"0")))</f>
        <v>1</v>
      </c>
      <c r="Z14" s="1038"/>
      <c r="AA14" s="1038" t="str">
        <f>IF(Z14&gt;19,$C14,IF(Z14&gt;0,$C15,IF(Z14=0,"0")))</f>
        <v>0</v>
      </c>
      <c r="AB14" s="1038">
        <v>24</v>
      </c>
      <c r="AC14" s="1038">
        <f>IF(AB14&gt;19.9,$C14,IF(AB14&gt;0,$C15,IF(AB14=0,"0")))</f>
        <v>1</v>
      </c>
      <c r="AD14" s="1038">
        <v>25</v>
      </c>
      <c r="AE14" s="1038">
        <f>IF(AD14&gt;19.9,$C14,IF(AD14&gt;0,$C15,IF(AD14=0,"0")))</f>
        <v>1</v>
      </c>
      <c r="AF14" s="1038">
        <v>25</v>
      </c>
      <c r="AG14" s="1038">
        <f>IF(AF14&gt;19.9,$C14,IF(AF14&gt;0,$C15,IF(AF14=0,"0")))</f>
        <v>1</v>
      </c>
      <c r="AH14" s="1038"/>
      <c r="AI14" s="1038" t="str">
        <f>IF(AH14&gt;19,$C14,IF(AH14&gt;0,$C15,IF(AH14=0,"0")))</f>
        <v>0</v>
      </c>
      <c r="AJ14" s="1038">
        <v>26</v>
      </c>
      <c r="AK14" s="1038">
        <f>IF(AJ14&gt;19.9,$C14,IF(AJ14&gt;0,$C15,IF(AJ14=0,"0")))</f>
        <v>1</v>
      </c>
      <c r="AL14" s="1038"/>
      <c r="AM14" s="979" t="str">
        <f>IF(AL14&gt;19,$C14,IF(AL14&gt;0,$C15,IF(AL14=0,"0")))</f>
        <v>0</v>
      </c>
    </row>
    <row r="15" spans="1:39" x14ac:dyDescent="0.25">
      <c r="A15" s="414">
        <v>1</v>
      </c>
      <c r="B15" s="307" t="s">
        <v>200</v>
      </c>
      <c r="C15" s="76">
        <v>0</v>
      </c>
      <c r="D15" s="980"/>
      <c r="E15" s="980"/>
      <c r="F15" s="1039"/>
      <c r="G15" s="1039"/>
      <c r="H15" s="1039"/>
      <c r="I15" s="1039"/>
      <c r="J15" s="1039"/>
      <c r="K15" s="1039"/>
      <c r="L15" s="1039"/>
      <c r="M15" s="1039"/>
      <c r="N15" s="1039"/>
      <c r="O15" s="1039"/>
      <c r="P15" s="1039"/>
      <c r="Q15" s="1039"/>
      <c r="R15" s="1039"/>
      <c r="S15" s="1039"/>
      <c r="T15" s="1039"/>
      <c r="U15" s="1039"/>
      <c r="V15" s="1039"/>
      <c r="W15" s="1039"/>
      <c r="X15" s="1039"/>
      <c r="Y15" s="1039"/>
      <c r="Z15" s="1039"/>
      <c r="AA15" s="1039"/>
      <c r="AB15" s="1039"/>
      <c r="AC15" s="1039"/>
      <c r="AD15" s="1039"/>
      <c r="AE15" s="1039"/>
      <c r="AF15" s="1039"/>
      <c r="AG15" s="1039"/>
      <c r="AH15" s="1039"/>
      <c r="AI15" s="1039"/>
      <c r="AJ15" s="1042"/>
      <c r="AK15" s="1039"/>
      <c r="AL15" s="1039"/>
      <c r="AM15" s="980"/>
    </row>
    <row r="16" spans="1:39" x14ac:dyDescent="0.25">
      <c r="A16" s="417" t="s">
        <v>640</v>
      </c>
      <c r="B16" s="415" t="s">
        <v>639</v>
      </c>
      <c r="C16" s="23">
        <f>A17</f>
        <v>1</v>
      </c>
      <c r="D16" s="1029"/>
      <c r="E16" s="1029" t="str">
        <f>IF(D16&gt;51,#REF!,IF(D16&gt;45,$C16,IF(D16&gt;0,$C17,IF(D16=0,"0"))))</f>
        <v>0</v>
      </c>
      <c r="F16" s="976"/>
      <c r="G16" s="976" t="str">
        <f>IF(F16&gt;51,#REF!,IF(F16&gt;45,$C16,IF(F16&gt;0,$C17,IF(F16=0,"0"))))</f>
        <v>0</v>
      </c>
      <c r="H16" s="976">
        <v>46</v>
      </c>
      <c r="I16" s="976">
        <f>IF(H16&gt;45.9,$C16,IF(H16&gt;0,$C17,IF(H16=0,"0")))</f>
        <v>1</v>
      </c>
      <c r="J16" s="976">
        <v>46</v>
      </c>
      <c r="K16" s="976">
        <f>IF(J16&gt;45.9,$C16,IF(J16&gt;0,$C17,IF(J16=0,"0")))</f>
        <v>1</v>
      </c>
      <c r="L16" s="976">
        <v>57</v>
      </c>
      <c r="M16" s="976">
        <f>IF(L16&gt;45.9,$C16,IF(L16&gt;0,$C17,IF(L16=0,"0")))</f>
        <v>1</v>
      </c>
      <c r="N16" s="976">
        <v>51</v>
      </c>
      <c r="O16" s="976">
        <f>IF(N16&gt;45.9,$C16,IF(N16&gt;0,$C17,IF(N16=0,"0")))</f>
        <v>1</v>
      </c>
      <c r="P16" s="976"/>
      <c r="Q16" s="976" t="str">
        <f>IF(P16&gt;51,#REF!,IF(P16&gt;45,$C16,IF(P16&gt;0,$C17,IF(P16=0,"0"))))</f>
        <v>0</v>
      </c>
      <c r="R16" s="1029">
        <v>46</v>
      </c>
      <c r="S16" s="976">
        <f>IF(R16&gt;45.9,$C16,IF(R16&gt;0,$C17,IF(R16=0,"0")))</f>
        <v>1</v>
      </c>
      <c r="T16" s="976">
        <v>46</v>
      </c>
      <c r="U16" s="976">
        <f>IF(T16&gt;45.9,$C16,IF(T16&gt;0,$C17,IF(T16=0,"0")))</f>
        <v>1</v>
      </c>
      <c r="V16" s="976">
        <v>47</v>
      </c>
      <c r="W16" s="976">
        <f>IF(V16&gt;45.9,$C16,IF(V16&gt;0,$C17,IF(V16=0,"0")))</f>
        <v>1</v>
      </c>
      <c r="X16" s="976">
        <v>48</v>
      </c>
      <c r="Y16" s="976">
        <f>IF(X16&gt;45.9,$C16,IF(X16&gt;0,$C17,IF(X16=0,"0")))</f>
        <v>1</v>
      </c>
      <c r="Z16" s="976"/>
      <c r="AA16" s="976" t="str">
        <f>IF(Z16&gt;51,#REF!,IF(Z16&gt;45,$C16,IF(Z16&gt;0,$C17,IF(Z16=0,"0"))))</f>
        <v>0</v>
      </c>
      <c r="AB16" s="976">
        <v>48</v>
      </c>
      <c r="AC16" s="976">
        <f>IF(AB16&gt;51,#REF!,IF(AB16&gt;45,$C16,IF(AB16&gt;0,$C17,IF(AB16=0,"0"))))</f>
        <v>1</v>
      </c>
      <c r="AD16" s="976">
        <v>48</v>
      </c>
      <c r="AE16" s="976">
        <f>IF(AD16&gt;51,#REF!,IF(AD16&gt;45,$C16,IF(AD16&gt;0,$C17,IF(AD16=0,"0"))))</f>
        <v>1</v>
      </c>
      <c r="AF16" s="1029">
        <v>47</v>
      </c>
      <c r="AG16" s="1029">
        <f>IF(AF16&gt;51,#REF!,IF(AF16&gt;45,$C16,IF(AF16&gt;0,$C17,IF(AF16=0,"0"))))</f>
        <v>1</v>
      </c>
      <c r="AH16" s="976"/>
      <c r="AI16" s="976" t="str">
        <f>IF(AH16&gt;51,#REF!,IF(AH16&gt;45,$C16,IF(AH16&gt;0,$C17,IF(AH16=0,"0"))))</f>
        <v>0</v>
      </c>
      <c r="AJ16" s="976">
        <v>44.5</v>
      </c>
      <c r="AK16" s="976">
        <f>IF(AJ16&gt;51,#REF!,IF(AJ16&gt;45,$C16,IF(AJ16&gt;0,$C17,IF(AJ16=0,"0"))))</f>
        <v>0</v>
      </c>
      <c r="AL16" s="1029"/>
      <c r="AM16" s="1029" t="str">
        <f>IF(AL16&gt;51,#REF!,IF(AL16&gt;45,$C16,IF(AL16&gt;0,$C17,IF(AL16=0,"0"))))</f>
        <v>0</v>
      </c>
    </row>
    <row r="17" spans="1:39" x14ac:dyDescent="0.25">
      <c r="A17" s="400">
        <v>1</v>
      </c>
      <c r="B17" s="415" t="s">
        <v>202</v>
      </c>
      <c r="C17" s="23">
        <v>0</v>
      </c>
      <c r="D17" s="1030"/>
      <c r="E17" s="1030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1030"/>
      <c r="S17" s="977"/>
      <c r="T17" s="977"/>
      <c r="U17" s="977"/>
      <c r="V17" s="977"/>
      <c r="W17" s="977"/>
      <c r="X17" s="977"/>
      <c r="Y17" s="977"/>
      <c r="Z17" s="977"/>
      <c r="AA17" s="977"/>
      <c r="AB17" s="977"/>
      <c r="AC17" s="977"/>
      <c r="AD17" s="977"/>
      <c r="AE17" s="977"/>
      <c r="AF17" s="1030"/>
      <c r="AG17" s="1030"/>
      <c r="AH17" s="977"/>
      <c r="AI17" s="977"/>
      <c r="AJ17" s="977"/>
      <c r="AK17" s="977"/>
      <c r="AL17" s="1030"/>
      <c r="AM17" s="1030"/>
    </row>
    <row r="18" spans="1:39" x14ac:dyDescent="0.25">
      <c r="A18" s="124" t="s">
        <v>228</v>
      </c>
      <c r="B18" s="307" t="s">
        <v>638</v>
      </c>
      <c r="C18" s="76">
        <f>A19</f>
        <v>1</v>
      </c>
      <c r="D18" s="979"/>
      <c r="E18" s="979" t="str">
        <f>IF(D18&gt;19,$C18,IF(D18&gt;0,C19,IF(D18=0,"0")))</f>
        <v>0</v>
      </c>
      <c r="F18" s="1038"/>
      <c r="G18" s="1038" t="str">
        <f>IF(F18&gt;19,$C18,IF(F18&gt;0,E19,IF(F18=0,"0")))</f>
        <v>0</v>
      </c>
      <c r="H18" s="1038">
        <v>23</v>
      </c>
      <c r="I18" s="1038">
        <f>IF(H18&gt;19,$C18,IF(H18&gt;0,G19,IF(H18=0,"0")))</f>
        <v>1</v>
      </c>
      <c r="J18" s="1038">
        <v>23</v>
      </c>
      <c r="K18" s="1038">
        <f>IF(J18&gt;19,$C18,IF(J18&gt;0,I19,IF(J18=0,"0")))</f>
        <v>1</v>
      </c>
      <c r="L18" s="1038">
        <v>28</v>
      </c>
      <c r="M18" s="1038">
        <f>IF(L18&gt;19,$C18,IF(L18&gt;0,K19,IF(L18=0,"0")))</f>
        <v>1</v>
      </c>
      <c r="N18" s="1038">
        <v>29</v>
      </c>
      <c r="O18" s="1038">
        <f>IF(N18&gt;19,$C18,IF(N18&gt;0,M19,IF(N18=0,"0")))</f>
        <v>1</v>
      </c>
      <c r="P18" s="1038"/>
      <c r="Q18" s="1038" t="str">
        <f>IF(P18&gt;19,$C18,IF(P18&gt;0,O19,IF(P18=0,"0")))</f>
        <v>0</v>
      </c>
      <c r="R18" s="979">
        <v>27</v>
      </c>
      <c r="S18" s="979">
        <f>IF(R18&gt;19,$C18,IF(R18&gt;0,Q19,IF(R18=0,"0")))</f>
        <v>1</v>
      </c>
      <c r="T18" s="1038">
        <v>29</v>
      </c>
      <c r="U18" s="1038">
        <f>IF(T18&gt;19,$C18,IF(T18&gt;0,S19,IF(T18=0,"0")))</f>
        <v>1</v>
      </c>
      <c r="V18" s="1038">
        <v>24</v>
      </c>
      <c r="W18" s="1038">
        <f>IF(V18&gt;19,$C18,IF(V18&gt;0,U19,IF(V18=0,"0")))</f>
        <v>1</v>
      </c>
      <c r="X18" s="1038">
        <v>28</v>
      </c>
      <c r="Y18" s="1038">
        <f>IF(X18&gt;19,$C18,IF(X18&gt;0,W19,IF(X18=0,"0")))</f>
        <v>1</v>
      </c>
      <c r="Z18" s="1038"/>
      <c r="AA18" s="1038" t="str">
        <f>IF(Z18&gt;19,$C18,IF(Z18&gt;0,Y19,IF(Z18=0,"0")))</f>
        <v>0</v>
      </c>
      <c r="AB18" s="1038">
        <v>27.5</v>
      </c>
      <c r="AC18" s="1038">
        <f>IF(AB18&gt;19,$C18,IF(AB18&gt;0,AA19,IF(AB18=0,"0")))</f>
        <v>1</v>
      </c>
      <c r="AD18" s="1038">
        <v>28.5</v>
      </c>
      <c r="AE18" s="1038">
        <f>IF(AD18&gt;19,$C18,IF(AD18&gt;0,AC19,IF(AD18=0,"0")))</f>
        <v>1</v>
      </c>
      <c r="AF18" s="979">
        <v>27</v>
      </c>
      <c r="AG18" s="979">
        <f>IF(AF18&gt;19,$C18,IF(AF18&gt;0,AE19,IF(AF18=0,"0")))</f>
        <v>1</v>
      </c>
      <c r="AH18" s="1038"/>
      <c r="AI18" s="1038" t="str">
        <f>IF(AH18&gt;19,$C18,IF(AH18&gt;0,AG19,IF(AH18=0,"0")))</f>
        <v>0</v>
      </c>
      <c r="AJ18" s="1038">
        <v>26</v>
      </c>
      <c r="AK18" s="1038">
        <f>IF(AJ18&gt;19,$C18,IF(AJ18&gt;0,AI19,IF(AJ18=0,"0")))</f>
        <v>1</v>
      </c>
      <c r="AL18" s="979"/>
      <c r="AM18" s="979" t="str">
        <f>IF(AL18&gt;19,$C18,IF(AL18&gt;0,AK19,IF(AL18=0,"0")))</f>
        <v>0</v>
      </c>
    </row>
    <row r="19" spans="1:39" x14ac:dyDescent="0.25">
      <c r="A19" s="414">
        <v>1</v>
      </c>
      <c r="B19" s="307" t="s">
        <v>200</v>
      </c>
      <c r="C19" s="76">
        <v>0</v>
      </c>
      <c r="D19" s="980"/>
      <c r="E19" s="980"/>
      <c r="F19" s="1039"/>
      <c r="G19" s="1039"/>
      <c r="H19" s="1039"/>
      <c r="I19" s="1039"/>
      <c r="J19" s="1039"/>
      <c r="K19" s="1039"/>
      <c r="L19" s="1042"/>
      <c r="M19" s="1039"/>
      <c r="N19" s="1039"/>
      <c r="O19" s="1039"/>
      <c r="P19" s="1039"/>
      <c r="Q19" s="1039"/>
      <c r="R19" s="980"/>
      <c r="S19" s="980"/>
      <c r="T19" s="1039"/>
      <c r="U19" s="1039"/>
      <c r="V19" s="1039"/>
      <c r="W19" s="1039"/>
      <c r="X19" s="1039"/>
      <c r="Y19" s="1039"/>
      <c r="Z19" s="1042"/>
      <c r="AA19" s="1039"/>
      <c r="AB19" s="1039"/>
      <c r="AC19" s="1039"/>
      <c r="AD19" s="1039"/>
      <c r="AE19" s="1039"/>
      <c r="AF19" s="980"/>
      <c r="AG19" s="980"/>
      <c r="AH19" s="1039"/>
      <c r="AI19" s="1039"/>
      <c r="AJ19" s="1039"/>
      <c r="AK19" s="1039"/>
      <c r="AL19" s="980"/>
      <c r="AM19" s="980"/>
    </row>
    <row r="20" spans="1:39" x14ac:dyDescent="0.25">
      <c r="A20" s="418" t="s">
        <v>221</v>
      </c>
      <c r="B20" s="97" t="s">
        <v>65</v>
      </c>
      <c r="C20" s="23">
        <v>0</v>
      </c>
      <c r="D20" s="1029"/>
      <c r="E20" s="1029" t="str">
        <f>IF(D20&gt;49,$C22,IF(D20&gt;34,$C21,IF(D20&gt;0,$C20,IF(D20=0,"0"))))</f>
        <v>0</v>
      </c>
      <c r="F20" s="976"/>
      <c r="G20" s="976" t="str">
        <f>IF(F20&gt;49,$C22,IF(F20&gt;34,$C21,IF(F20&gt;0,$C20,IF(F20=0,"0"))))</f>
        <v>0</v>
      </c>
      <c r="H20" s="976">
        <v>50</v>
      </c>
      <c r="I20" s="976">
        <f>IF(H20&gt;49,$C22,IF(H20&gt;34,$C21,IF(H20&gt;0,$C20,IF(H20=0,"0"))))</f>
        <v>2</v>
      </c>
      <c r="J20" s="976">
        <v>30</v>
      </c>
      <c r="K20" s="976">
        <f>IF(J20&gt;49,$C22,IF(J20&gt;34,$C21,IF(J20&gt;0,$C20,IF(J20=0,"0"))))</f>
        <v>0</v>
      </c>
      <c r="L20" s="976">
        <v>53</v>
      </c>
      <c r="M20" s="976">
        <f>IF(L20&gt;50,$C22,IF(L20&gt;34,$C21,IF(L20&gt;0,$C20,IF(L20=0,"0"))))</f>
        <v>2</v>
      </c>
      <c r="N20" s="976">
        <v>55</v>
      </c>
      <c r="O20" s="976">
        <f>IF(N20&gt;50,$C22,IF(N20&gt;34,$C21,IF(N20&gt;0,$C20,IF(N20=0,"0"))))</f>
        <v>2</v>
      </c>
      <c r="P20" s="976"/>
      <c r="Q20" s="976" t="str">
        <f>IF(P20&gt;49,$C22,IF(P20&gt;34,$C21,IF(P20&gt;0,$C20,IF(P20=0,"0"))))</f>
        <v>0</v>
      </c>
      <c r="R20" s="1029">
        <v>30</v>
      </c>
      <c r="S20" s="976">
        <f>IF(R20&gt;50,$C22,IF(R20&gt;34,$C21,IF(R20&gt;0,$C20,IF(R20=0,"0"))))</f>
        <v>0</v>
      </c>
      <c r="T20" s="976">
        <v>70</v>
      </c>
      <c r="U20" s="976">
        <f>IF(T20&gt;50,$C22,IF(T20&gt;34,$C21,IF(T20&gt;0,$C20,IF(T20=0,"0"))))</f>
        <v>2</v>
      </c>
      <c r="V20" s="976">
        <v>50</v>
      </c>
      <c r="W20" s="976">
        <f>IF(V20&gt;50,$C22,IF(V20&gt;34,$C21,IF(V20&gt;0,$C20,IF(V20=0,"0"))))</f>
        <v>1</v>
      </c>
      <c r="X20" s="976">
        <v>30</v>
      </c>
      <c r="Y20" s="976">
        <f>IF(X20&gt;50,$C22,IF(X20&gt;34,$C21,IF(X20&gt;0,$C20,IF(X20=0,"0"))))</f>
        <v>0</v>
      </c>
      <c r="Z20" s="976"/>
      <c r="AA20" s="976" t="str">
        <f>IF(Z20&gt;49,$C22,IF(Z20&gt;34,$C21,IF(Z20&gt;0,$C20,IF(Z20=0,"0"))))</f>
        <v>0</v>
      </c>
      <c r="AB20" s="976">
        <v>65</v>
      </c>
      <c r="AC20" s="976">
        <f>IF(AB20&gt;50,$C22,IF(AB20&gt;34,$C21,IF(AB20&gt;0,$C20,IF(AB20=0,"0"))))</f>
        <v>2</v>
      </c>
      <c r="AD20" s="976">
        <v>50</v>
      </c>
      <c r="AE20" s="976">
        <f>IF(AD20&gt;50,$C22,IF(AD20&gt;34,$C21,IF(AD20&gt;0,$C20,IF(AD20=0,"0"))))</f>
        <v>1</v>
      </c>
      <c r="AF20" s="1029">
        <v>30</v>
      </c>
      <c r="AG20" s="976">
        <f>IF(AF20&gt;50,$C22,IF(AF20&gt;34,$C21,IF(AF20&gt;0,$C20,IF(AF20=0,"0"))))</f>
        <v>0</v>
      </c>
      <c r="AH20" s="976"/>
      <c r="AI20" s="976" t="str">
        <f>IF(AH20&gt;49,$C22,IF(AH20&gt;34,$C21,IF(AH20&gt;0,$C20,IF(AH20=0,"0"))))</f>
        <v>0</v>
      </c>
      <c r="AJ20" s="976">
        <v>42</v>
      </c>
      <c r="AK20" s="976">
        <f>IF(AJ20&gt;50,$C22,IF(AJ20&gt;34,$C21,IF(AJ20&gt;0,$C20,IF(AJ20=0,"0"))))</f>
        <v>1</v>
      </c>
      <c r="AL20" s="1029"/>
      <c r="AM20" s="1029" t="str">
        <f>IF(AL20&gt;49,$C22,IF(AL20&gt;34,$C21,IF(AL20&gt;0,$C20,IF(AL20=0,"0"))))</f>
        <v>0</v>
      </c>
    </row>
    <row r="21" spans="1:39" ht="13.8" x14ac:dyDescent="0.3">
      <c r="A21" s="399">
        <v>2</v>
      </c>
      <c r="B21" s="415" t="s">
        <v>1123</v>
      </c>
      <c r="C21" s="23">
        <v>1</v>
      </c>
      <c r="D21" s="1031"/>
      <c r="E21" s="1030"/>
      <c r="F21" s="977"/>
      <c r="G21" s="977"/>
      <c r="H21" s="977"/>
      <c r="I21" s="977"/>
      <c r="J21" s="977"/>
      <c r="K21" s="977"/>
      <c r="L21" s="977"/>
      <c r="M21" s="977"/>
      <c r="N21" s="977"/>
      <c r="O21" s="977"/>
      <c r="P21" s="977"/>
      <c r="Q21" s="977"/>
      <c r="R21" s="1030"/>
      <c r="S21" s="977"/>
      <c r="T21" s="977"/>
      <c r="U21" s="977"/>
      <c r="V21" s="977"/>
      <c r="W21" s="977"/>
      <c r="X21" s="977"/>
      <c r="Y21" s="977"/>
      <c r="Z21" s="977"/>
      <c r="AA21" s="977"/>
      <c r="AB21" s="977"/>
      <c r="AC21" s="977"/>
      <c r="AD21" s="977"/>
      <c r="AE21" s="977"/>
      <c r="AF21" s="1030"/>
      <c r="AG21" s="977"/>
      <c r="AH21" s="977"/>
      <c r="AI21" s="977"/>
      <c r="AJ21" s="977"/>
      <c r="AK21" s="977"/>
      <c r="AL21" s="1030"/>
      <c r="AM21" s="1030"/>
    </row>
    <row r="22" spans="1:39" x14ac:dyDescent="0.25">
      <c r="A22" s="400"/>
      <c r="B22" s="415" t="s">
        <v>1124</v>
      </c>
      <c r="C22" s="23">
        <f>A21</f>
        <v>2</v>
      </c>
      <c r="D22" s="1032"/>
      <c r="E22" s="1033"/>
      <c r="F22" s="978"/>
      <c r="G22" s="978"/>
      <c r="H22" s="978"/>
      <c r="I22" s="978"/>
      <c r="J22" s="978"/>
      <c r="K22" s="978"/>
      <c r="L22" s="978"/>
      <c r="M22" s="978"/>
      <c r="N22" s="978"/>
      <c r="O22" s="978"/>
      <c r="P22" s="978"/>
      <c r="Q22" s="978"/>
      <c r="R22" s="1033"/>
      <c r="S22" s="978"/>
      <c r="T22" s="978"/>
      <c r="U22" s="978"/>
      <c r="V22" s="978"/>
      <c r="W22" s="978"/>
      <c r="X22" s="978"/>
      <c r="Y22" s="978"/>
      <c r="Z22" s="978"/>
      <c r="AA22" s="978"/>
      <c r="AB22" s="978"/>
      <c r="AC22" s="978"/>
      <c r="AD22" s="978"/>
      <c r="AE22" s="978"/>
      <c r="AF22" s="1033"/>
      <c r="AG22" s="978"/>
      <c r="AH22" s="978"/>
      <c r="AI22" s="978"/>
      <c r="AJ22" s="978"/>
      <c r="AK22" s="978"/>
      <c r="AL22" s="1033"/>
      <c r="AM22" s="1033"/>
    </row>
    <row r="23" spans="1:39" s="96" customFormat="1" x14ac:dyDescent="0.25">
      <c r="A23" s="124" t="s">
        <v>45</v>
      </c>
      <c r="B23" s="288" t="s">
        <v>65</v>
      </c>
      <c r="C23" s="404">
        <v>0</v>
      </c>
      <c r="D23" s="979"/>
      <c r="E23" s="979" t="str">
        <f>IF(D23&gt;49,$C25,IF(D23&gt;34,$C24,IF(D23&gt;0,$C23,IF(D23=0,"0"))))</f>
        <v>0</v>
      </c>
      <c r="F23" s="979"/>
      <c r="G23" s="979" t="str">
        <f>IF(F23&gt;49,$C25,IF(F23&gt;34,$C24,IF(F23&gt;0,$C23,IF(F23=0,"0"))))</f>
        <v>0</v>
      </c>
      <c r="H23" s="979">
        <v>50</v>
      </c>
      <c r="I23" s="979">
        <f>IF(H23&gt;49,$C25,IF(H23&gt;34,$C24,IF(H23&gt;0,$C23,IF(H23=0,"0"))))</f>
        <v>2</v>
      </c>
      <c r="J23" s="979">
        <v>35</v>
      </c>
      <c r="K23" s="979">
        <f>IF(J23&gt;49,$C25,IF(J23&gt;34,$C24,IF(J23&gt;0,$C23,IF(J23=0,"0"))))</f>
        <v>1</v>
      </c>
      <c r="L23" s="979">
        <v>53</v>
      </c>
      <c r="M23" s="979">
        <f>IF(L23&gt;50,$C25,IF(L23&gt;34,$C24,IF(L23&gt;0,$C23,IF(L23=0,"0"))))</f>
        <v>2</v>
      </c>
      <c r="N23" s="979">
        <v>55</v>
      </c>
      <c r="O23" s="979">
        <f>IF(N23&gt;50,$C25,IF(N23&gt;34,$C24,IF(N23&gt;0,$C23,IF(N23=0,"0"))))</f>
        <v>2</v>
      </c>
      <c r="P23" s="979"/>
      <c r="Q23" s="979" t="str">
        <f>IF(P23&gt;49,$C25,IF(P23&gt;34,$C24,IF(P23&gt;0,$C23,IF(P23=0,"0"))))</f>
        <v>0</v>
      </c>
      <c r="R23" s="979">
        <v>30</v>
      </c>
      <c r="S23" s="979">
        <f>IF(R23&gt;50,$C25,IF(R23&gt;34,$C24,IF(R23&gt;0,$C23,IF(R23=0,"0"))))</f>
        <v>0</v>
      </c>
      <c r="T23" s="979">
        <v>70</v>
      </c>
      <c r="U23" s="979">
        <f>IF(T23&gt;50,$C25,IF(T23&gt;34,$C24,IF(T23&gt;0,$C23,IF(T23=0,"0"))))</f>
        <v>2</v>
      </c>
      <c r="V23" s="979">
        <v>50</v>
      </c>
      <c r="W23" s="979">
        <f>IF(V23&gt;50,$C25,IF(V23&gt;34,$C24,IF(V23&gt;0,$C23,IF(V23=0,"0"))))</f>
        <v>1</v>
      </c>
      <c r="X23" s="979">
        <v>55</v>
      </c>
      <c r="Y23" s="979">
        <f>IF(X23&gt;50,$C25,IF(X23&gt;34,$C24,IF(X23&gt;0,$C23,IF(X23=0,"0"))))</f>
        <v>2</v>
      </c>
      <c r="Z23" s="979"/>
      <c r="AA23" s="979" t="str">
        <f>IF(Z23&gt;49,$C25,IF(Z23&gt;34,$C24,IF(Z23&gt;0,$C23,IF(Z23=0,"0"))))</f>
        <v>0</v>
      </c>
      <c r="AB23" s="979">
        <v>65</v>
      </c>
      <c r="AC23" s="979">
        <f>IF(AB23&gt;50,$C25,IF(AB23&gt;34,$C24,IF(AB23&gt;0,$C23,IF(AB23=0,"0"))))</f>
        <v>2</v>
      </c>
      <c r="AD23" s="979">
        <v>50</v>
      </c>
      <c r="AE23" s="979">
        <f>IF(AD23&gt;50,$C25,IF(AD23&gt;34,$C24,IF(AD23&gt;0,$C23,IF(AD23=0,"0"))))</f>
        <v>1</v>
      </c>
      <c r="AF23" s="979">
        <v>34</v>
      </c>
      <c r="AG23" s="979">
        <f>IF(AF23&gt;50,$C25,IF(AF23&gt;34,$C24,IF(AF23&gt;0,$C23,IF(AF23=0,"0"))))</f>
        <v>0</v>
      </c>
      <c r="AH23" s="979"/>
      <c r="AI23" s="979" t="str">
        <f>IF(AH23&gt;49,$C25,IF(AH23&gt;34,$C24,IF(AH23&gt;0,$C23,IF(AH23=0,"0"))))</f>
        <v>0</v>
      </c>
      <c r="AJ23" s="979">
        <v>42</v>
      </c>
      <c r="AK23" s="979">
        <f>IF(AJ23&gt;50,$C25,IF(AJ23&gt;34,$C24,IF(AJ23&gt;0,$C23,IF(AJ23=0,"0"))))</f>
        <v>1</v>
      </c>
      <c r="AL23" s="1029"/>
      <c r="AM23" s="1029" t="str">
        <f>IF(AL23&gt;49,$C25,IF(AL23&gt;34,$C24,IF(AL23&gt;0,$C23,IF(AL23=0,"0"))))</f>
        <v>0</v>
      </c>
    </row>
    <row r="24" spans="1:39" s="96" customFormat="1" ht="13.8" x14ac:dyDescent="0.3">
      <c r="A24" s="395">
        <v>2</v>
      </c>
      <c r="B24" s="307" t="s">
        <v>1123</v>
      </c>
      <c r="C24" s="404">
        <v>1</v>
      </c>
      <c r="D24" s="990"/>
      <c r="E24" s="980"/>
      <c r="F24" s="980"/>
      <c r="G24" s="980"/>
      <c r="H24" s="980"/>
      <c r="I24" s="980"/>
      <c r="J24" s="980"/>
      <c r="K24" s="980"/>
      <c r="L24" s="980"/>
      <c r="M24" s="980"/>
      <c r="N24" s="980"/>
      <c r="O24" s="980"/>
      <c r="P24" s="980"/>
      <c r="Q24" s="980"/>
      <c r="R24" s="980"/>
      <c r="S24" s="980"/>
      <c r="T24" s="980"/>
      <c r="U24" s="980"/>
      <c r="V24" s="980"/>
      <c r="W24" s="980"/>
      <c r="X24" s="980"/>
      <c r="Y24" s="980"/>
      <c r="Z24" s="980"/>
      <c r="AA24" s="980"/>
      <c r="AB24" s="980"/>
      <c r="AC24" s="980"/>
      <c r="AD24" s="980"/>
      <c r="AE24" s="980"/>
      <c r="AF24" s="980"/>
      <c r="AG24" s="980"/>
      <c r="AH24" s="980"/>
      <c r="AI24" s="980"/>
      <c r="AJ24" s="980"/>
      <c r="AK24" s="980"/>
      <c r="AL24" s="1030"/>
      <c r="AM24" s="1030"/>
    </row>
    <row r="25" spans="1:39" s="96" customFormat="1" x14ac:dyDescent="0.25">
      <c r="A25" s="396"/>
      <c r="B25" s="307" t="s">
        <v>1124</v>
      </c>
      <c r="C25" s="404">
        <f>A24</f>
        <v>2</v>
      </c>
      <c r="D25" s="991"/>
      <c r="E25" s="981"/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1"/>
      <c r="R25" s="981"/>
      <c r="S25" s="981"/>
      <c r="T25" s="981"/>
      <c r="U25" s="981"/>
      <c r="V25" s="981"/>
      <c r="W25" s="981"/>
      <c r="X25" s="981"/>
      <c r="Y25" s="981"/>
      <c r="Z25" s="981"/>
      <c r="AA25" s="981"/>
      <c r="AB25" s="981"/>
      <c r="AC25" s="981"/>
      <c r="AD25" s="981"/>
      <c r="AE25" s="981"/>
      <c r="AF25" s="981"/>
      <c r="AG25" s="981"/>
      <c r="AH25" s="981"/>
      <c r="AI25" s="981"/>
      <c r="AJ25" s="981"/>
      <c r="AK25" s="981"/>
      <c r="AL25" s="1033"/>
      <c r="AM25" s="1033"/>
    </row>
    <row r="26" spans="1:39" s="96" customFormat="1" x14ac:dyDescent="0.25">
      <c r="A26" s="291" t="s">
        <v>641</v>
      </c>
      <c r="B26" s="294" t="s">
        <v>668</v>
      </c>
      <c r="C26" s="405">
        <v>1</v>
      </c>
      <c r="D26" s="401"/>
      <c r="E26" s="401" t="str">
        <f>IF(D26&gt;50,$C24,IF(D26&lt;51,"0"))</f>
        <v>0</v>
      </c>
      <c r="F26" s="401"/>
      <c r="G26" s="401" t="str">
        <f>IF(F26&gt;50,$C24,IF(F26&lt;51,"0"))</f>
        <v>0</v>
      </c>
      <c r="H26" s="401">
        <v>63</v>
      </c>
      <c r="I26" s="463">
        <f>IF(H26&gt;54,$C26,IF(H26&lt;51,"0"))</f>
        <v>1</v>
      </c>
      <c r="J26" s="401">
        <v>62</v>
      </c>
      <c r="K26" s="463">
        <f>IF(J26&gt;54,$C26,IF(J26&lt;51,"0"))</f>
        <v>1</v>
      </c>
      <c r="L26" s="401">
        <v>57.5</v>
      </c>
      <c r="M26" s="463">
        <f>IF(L26&gt;54,$C26,IF(L26&lt;51,"0"))</f>
        <v>1</v>
      </c>
      <c r="N26" s="401">
        <v>57.5</v>
      </c>
      <c r="O26" s="463">
        <f>IF(N26&gt;54,$C26,IF(N26&lt;51,"0"))</f>
        <v>1</v>
      </c>
      <c r="P26" s="401"/>
      <c r="Q26" s="401" t="str">
        <f>IF(P26&gt;50,$C24,IF(P26&lt;51,"0"))</f>
        <v>0</v>
      </c>
      <c r="R26" s="401">
        <v>46</v>
      </c>
      <c r="S26" s="463" t="str">
        <f>IF(R26&gt;54,$C26,IF(R26&lt;51,"0"))</f>
        <v>0</v>
      </c>
      <c r="T26" s="401">
        <v>55</v>
      </c>
      <c r="U26" s="401">
        <f>IF(T26&gt;54,$C26,IF(T26&lt;51,"0"))</f>
        <v>1</v>
      </c>
      <c r="V26" s="401">
        <v>60</v>
      </c>
      <c r="W26" s="463">
        <f>IF(V26&gt;54,$C26,IF(V26&lt;51,"0"))</f>
        <v>1</v>
      </c>
      <c r="X26" s="401">
        <v>57</v>
      </c>
      <c r="Y26" s="463">
        <f>IF(X26&gt;54,$C26,IF(X26&lt;51,"0"))</f>
        <v>1</v>
      </c>
      <c r="Z26" s="401"/>
      <c r="AA26" s="401" t="str">
        <f>IF(Z26&gt;50,$C24,IF(Z26&lt;51,"0"))</f>
        <v>0</v>
      </c>
      <c r="AB26" s="401">
        <v>54</v>
      </c>
      <c r="AC26" s="463" t="str">
        <f>IF(AB26&gt;54,$C26,IF(AB26&gt;1,"0"))</f>
        <v>0</v>
      </c>
      <c r="AD26" s="401">
        <v>54</v>
      </c>
      <c r="AE26" s="463" t="str">
        <f>IF(AD26&gt;54,$C26,IF(AD26&gt;1,"0"))</f>
        <v>0</v>
      </c>
      <c r="AF26" s="401">
        <v>51</v>
      </c>
      <c r="AG26" s="463" t="str">
        <f>IF(AF26&gt;54,$C26,IF(AF26&gt;1,"0"))</f>
        <v>0</v>
      </c>
      <c r="AH26" s="401"/>
      <c r="AI26" s="401" t="str">
        <f>IF(AH26&gt;50,$C24,IF(AH26&lt;51,"0"))</f>
        <v>0</v>
      </c>
      <c r="AJ26" s="401">
        <v>57</v>
      </c>
      <c r="AK26" s="463">
        <f>IF(AJ26&gt;54,$C26,IF(AJ26&gt;1,"0"))</f>
        <v>1</v>
      </c>
      <c r="AL26" s="126"/>
      <c r="AM26" s="126" t="str">
        <f>IF(AL26&gt;50,$C24,IF(AL26&lt;51,"0"))</f>
        <v>0</v>
      </c>
    </row>
    <row r="27" spans="1:39" x14ac:dyDescent="0.25">
      <c r="A27" s="398">
        <v>2</v>
      </c>
      <c r="B27" s="294" t="s">
        <v>643</v>
      </c>
      <c r="C27" s="183">
        <v>1</v>
      </c>
      <c r="D27" s="401"/>
      <c r="E27" s="401" t="str">
        <f>IF(D27=40,$C27,IF(D27&lt;40,"0",IF(D27&gt;40,"0")))</f>
        <v>0</v>
      </c>
      <c r="F27" s="401"/>
      <c r="G27" s="401" t="str">
        <f>IF(F27=40,$C27,IF(F27&lt;40,"0",IF(F27&gt;40,"0")))</f>
        <v>0</v>
      </c>
      <c r="H27" s="401"/>
      <c r="I27" s="401" t="str">
        <f>IF(H27&gt;39.9,$C27,IF(H27&lt;40,"0"))</f>
        <v>0</v>
      </c>
      <c r="J27" s="401">
        <v>50</v>
      </c>
      <c r="K27" s="401">
        <f>IF(J27&gt;39.9,$C27,IF(J27&lt;40,"0"))</f>
        <v>1</v>
      </c>
      <c r="L27" s="401"/>
      <c r="M27" s="401" t="str">
        <f>IF(L27&gt;39.9,$C27,IF(L27&lt;40,"0"))</f>
        <v>0</v>
      </c>
      <c r="N27" s="401"/>
      <c r="O27" s="401" t="str">
        <f>IF(N27&gt;39.9,$C27,IF(N27&lt;40,"0"))</f>
        <v>0</v>
      </c>
      <c r="P27" s="401"/>
      <c r="Q27" s="401" t="str">
        <f>IF(P27=40,$C27,IF(P27&lt;40,"0",IF(P27&gt;40,"0")))</f>
        <v>0</v>
      </c>
      <c r="R27" s="401">
        <v>46</v>
      </c>
      <c r="S27" s="401" t="str">
        <f>IF(R27=40,$C27,IF(R27&lt;40,"0",IF(R27&gt;40,"0")))</f>
        <v>0</v>
      </c>
      <c r="T27" s="401">
        <v>42</v>
      </c>
      <c r="U27" s="401">
        <f>IF(T27&gt;39.9,$C27,IF(T27&lt;40,"0"))</f>
        <v>1</v>
      </c>
      <c r="V27" s="401">
        <v>47</v>
      </c>
      <c r="W27" s="401">
        <f>IF(V27&gt;39.9,$C27,IF(V27&lt;40,"0"))</f>
        <v>1</v>
      </c>
      <c r="X27" s="401"/>
      <c r="Y27" s="401" t="str">
        <f>IF(X27&gt;39.9,$C27,IF(X27&lt;40,"0"))</f>
        <v>0</v>
      </c>
      <c r="Z27" s="401"/>
      <c r="AA27" s="401" t="str">
        <f>IF(Z27=40,$C27,IF(Z27&lt;40,"0",IF(Z27&gt;40,"0")))</f>
        <v>0</v>
      </c>
      <c r="AB27" s="401"/>
      <c r="AC27" s="401" t="str">
        <f>IF(AB27&gt;39.9,$C27,IF(AB27&lt;40,"0"))</f>
        <v>0</v>
      </c>
      <c r="AD27" s="401">
        <v>46</v>
      </c>
      <c r="AE27" s="401">
        <f>IF(AD27&gt;39.9,$C27,IF(AD27&lt;40,"0"))</f>
        <v>1</v>
      </c>
      <c r="AF27" s="401">
        <v>39</v>
      </c>
      <c r="AG27" s="401" t="str">
        <f>IF(AF27&gt;39.9,$C27,IF(AF27&lt;40,"0"))</f>
        <v>0</v>
      </c>
      <c r="AH27" s="401"/>
      <c r="AI27" s="401" t="str">
        <f>IF(AH27=40,$C27,IF(AH27&lt;40,"0",IF(AH27&gt;40,"0")))</f>
        <v>0</v>
      </c>
      <c r="AJ27" s="401">
        <v>47</v>
      </c>
      <c r="AK27" s="401">
        <f>IF(AJ27&gt;39.9,$C27,IF(AJ27&lt;40,"0"))</f>
        <v>1</v>
      </c>
      <c r="AL27" s="126"/>
      <c r="AM27" s="126" t="str">
        <f>IF(AL27=40,$C27,IF(AL27&lt;40,"0",IF(AL27&gt;40,"0")))</f>
        <v>0</v>
      </c>
    </row>
    <row r="28" spans="1:39" x14ac:dyDescent="0.25">
      <c r="A28" s="124" t="s">
        <v>206</v>
      </c>
      <c r="B28" s="307" t="s">
        <v>669</v>
      </c>
      <c r="C28" s="404">
        <f>A29</f>
        <v>1</v>
      </c>
      <c r="D28" s="979"/>
      <c r="E28" s="979" t="str">
        <f>IF(D28&gt;39,$C28,IF(D28&gt;0,$C29,IF(D28=0,"0")))</f>
        <v>0</v>
      </c>
      <c r="F28" s="979"/>
      <c r="G28" s="979" t="str">
        <f>IF(F28&gt;39,$C28,IF(F28&gt;0,$C29,IF(F28=0,"0")))</f>
        <v>0</v>
      </c>
      <c r="H28" s="979">
        <v>49</v>
      </c>
      <c r="I28" s="979">
        <f>IF(H28&gt;45.9,$C28,IF(H28&gt;0,$C29,IF(H28=0,"0")))</f>
        <v>1</v>
      </c>
      <c r="J28" s="979">
        <v>49</v>
      </c>
      <c r="K28" s="979">
        <f>IF(J28&gt;45.9,$C28,IF(J28&gt;0,$C29,IF(J28=0,"0")))</f>
        <v>1</v>
      </c>
      <c r="L28" s="979">
        <v>47</v>
      </c>
      <c r="M28" s="979">
        <f>IF(L28&gt;45.9,$C28,IF(L28&gt;0,$C29,IF(L28=0,"0")))</f>
        <v>1</v>
      </c>
      <c r="N28" s="979">
        <v>47</v>
      </c>
      <c r="O28" s="979">
        <f>IF(N28&gt;45.9,$C28,IF(N28&gt;0,$C29,IF(N28=0,"0")))</f>
        <v>1</v>
      </c>
      <c r="P28" s="979"/>
      <c r="Q28" s="979" t="str">
        <f>IF(P28&gt;39,$C28,IF(P28&gt;0,$C29,IF(P28=0,"0")))</f>
        <v>0</v>
      </c>
      <c r="R28" s="979">
        <v>50</v>
      </c>
      <c r="S28" s="979">
        <f>IF(R28&gt;45.9,$C28,IF(R28&gt;0,$C29,IF(R28=0,"0")))</f>
        <v>1</v>
      </c>
      <c r="T28" s="979">
        <v>48</v>
      </c>
      <c r="U28" s="979">
        <f>IF(T28&gt;45.9,$C28,IF(T28&gt;0,$C29,IF(T28=0,"0")))</f>
        <v>1</v>
      </c>
      <c r="V28" s="979">
        <v>47</v>
      </c>
      <c r="W28" s="979">
        <f>IF(V28&gt;45.9,$C28,IF(V28&gt;0,$C29,IF(V28=0,"0")))</f>
        <v>1</v>
      </c>
      <c r="X28" s="979">
        <v>50</v>
      </c>
      <c r="Y28" s="979">
        <f>IF(X28&gt;45.9,$C28,IF(X28&gt;0,$C29,IF(X28=0,"0")))</f>
        <v>1</v>
      </c>
      <c r="Z28" s="979"/>
      <c r="AA28" s="979" t="str">
        <f>IF(Z28&gt;39,$C28,IF(Z28&gt;0,$C29,IF(Z28=0,"0")))</f>
        <v>0</v>
      </c>
      <c r="AB28" s="979">
        <v>49</v>
      </c>
      <c r="AC28" s="979">
        <f>IF(AB28&gt;45.9,$C28,IF(AB28&gt;0,$C29,IF(AB28=0,"0")))</f>
        <v>1</v>
      </c>
      <c r="AD28" s="979">
        <v>45.5</v>
      </c>
      <c r="AE28" s="979">
        <f>IF(AD28&gt;45.9,$C28,IF(AD28&gt;0,$C29,IF(AD28=0,"0")))</f>
        <v>0</v>
      </c>
      <c r="AF28" s="979">
        <v>47</v>
      </c>
      <c r="AG28" s="979">
        <f>IF(AF28&gt;45.9,$C28,IF(AF28&gt;0,$C29,IF(AF28=0,"0")))</f>
        <v>1</v>
      </c>
      <c r="AH28" s="979"/>
      <c r="AI28" s="979" t="str">
        <f>IF(AH28&gt;39,$C28,IF(AH28&gt;0,$C29,IF(AH28=0,"0")))</f>
        <v>0</v>
      </c>
      <c r="AJ28" s="979">
        <v>48</v>
      </c>
      <c r="AK28" s="979">
        <f>IF(AJ28&gt;45.9,$C28,IF(AJ28&gt;0,$C29,IF(AJ28=0,"0")))</f>
        <v>1</v>
      </c>
      <c r="AL28" s="1029"/>
      <c r="AM28" s="1029" t="str">
        <f>IF(AL28&gt;39,$C28,IF(AL28&gt;0,$C29,IF(AL28=0,"0")))</f>
        <v>0</v>
      </c>
    </row>
    <row r="29" spans="1:39" x14ac:dyDescent="0.25">
      <c r="A29" s="414">
        <v>1</v>
      </c>
      <c r="B29" s="307" t="s">
        <v>670</v>
      </c>
      <c r="C29" s="404">
        <v>0</v>
      </c>
      <c r="D29" s="980"/>
      <c r="E29" s="980"/>
      <c r="F29" s="980"/>
      <c r="G29" s="980"/>
      <c r="H29" s="980"/>
      <c r="I29" s="980"/>
      <c r="J29" s="980"/>
      <c r="K29" s="980"/>
      <c r="L29" s="981"/>
      <c r="M29" s="980"/>
      <c r="N29" s="980"/>
      <c r="O29" s="980"/>
      <c r="P29" s="980"/>
      <c r="Q29" s="980"/>
      <c r="R29" s="980"/>
      <c r="S29" s="980"/>
      <c r="T29" s="980"/>
      <c r="U29" s="980"/>
      <c r="V29" s="980"/>
      <c r="W29" s="980"/>
      <c r="X29" s="980"/>
      <c r="Y29" s="980"/>
      <c r="Z29" s="980"/>
      <c r="AA29" s="980"/>
      <c r="AB29" s="980"/>
      <c r="AC29" s="980"/>
      <c r="AD29" s="980"/>
      <c r="AE29" s="980"/>
      <c r="AF29" s="980"/>
      <c r="AG29" s="980"/>
      <c r="AH29" s="980"/>
      <c r="AI29" s="980"/>
      <c r="AJ29" s="980"/>
      <c r="AK29" s="980"/>
      <c r="AL29" s="1030"/>
      <c r="AM29" s="1030"/>
    </row>
    <row r="30" spans="1:39" x14ac:dyDescent="0.25">
      <c r="A30" s="268" t="s">
        <v>207</v>
      </c>
      <c r="B30" s="294" t="s">
        <v>669</v>
      </c>
      <c r="C30" s="405">
        <f>A31</f>
        <v>1</v>
      </c>
      <c r="D30" s="976"/>
      <c r="E30" s="976" t="str">
        <f>IF(D30&gt;39,$C30,IF(D30&gt;0,$C31,IF(D30=0,"0")))</f>
        <v>0</v>
      </c>
      <c r="F30" s="976"/>
      <c r="G30" s="976" t="str">
        <f>IF(F30&gt;39,$C30,IF(F30&gt;0,$C31,IF(F30=0,"0")))</f>
        <v>0</v>
      </c>
      <c r="H30" s="976">
        <v>50</v>
      </c>
      <c r="I30" s="976">
        <f>IF(H30&gt;45.9,$C30,IF(H30&gt;0,$C31,IF(H30=0,"0")))</f>
        <v>1</v>
      </c>
      <c r="J30" s="976">
        <v>44</v>
      </c>
      <c r="K30" s="976">
        <f>IF(J30&gt;45.9,$C30,IF(J30&gt;0,$C31,IF(J30=0,"0")))</f>
        <v>0</v>
      </c>
      <c r="L30" s="976">
        <v>46.5</v>
      </c>
      <c r="M30" s="976">
        <f>IF(L30&gt;45.9,$C30,IF(L30&gt;0,$C31,IF(L30=0,"0")))</f>
        <v>1</v>
      </c>
      <c r="N30" s="976">
        <v>46.5</v>
      </c>
      <c r="O30" s="976">
        <f>IF(N30&gt;45.9,$C30,IF(N30&gt;0,$C31,IF(N30=0,"0")))</f>
        <v>1</v>
      </c>
      <c r="P30" s="976"/>
      <c r="Q30" s="976" t="str">
        <f>IF(P30&gt;39,$C30,IF(P30&gt;0,$C31,IF(P30=0,"0")))</f>
        <v>0</v>
      </c>
      <c r="R30" s="976">
        <v>44</v>
      </c>
      <c r="S30" s="976">
        <f>IF(R30&gt;45.9,$C30,IF(R30&gt;0,$C31,IF(R30=0,"0")))</f>
        <v>0</v>
      </c>
      <c r="T30" s="976">
        <v>48</v>
      </c>
      <c r="U30" s="976">
        <f>IF(T30&gt;45.9,$C30,IF(T30&gt;0,$C31,IF(T30=0,"0")))</f>
        <v>1</v>
      </c>
      <c r="V30" s="976">
        <v>47</v>
      </c>
      <c r="W30" s="976">
        <f>IF(V30&gt;45.9,$C30,IF(V30&gt;0,$C31,IF(V30=0,"0")))</f>
        <v>1</v>
      </c>
      <c r="X30" s="976">
        <v>50</v>
      </c>
      <c r="Y30" s="976">
        <f>IF(X30&gt;45.9,$C30,IF(X30&gt;0,$C31,IF(X30=0,"0")))</f>
        <v>1</v>
      </c>
      <c r="Z30" s="976"/>
      <c r="AA30" s="976" t="str">
        <f>IF(Z30&gt;39,$C30,IF(Z30&gt;0,$C31,IF(Z30=0,"0")))</f>
        <v>0</v>
      </c>
      <c r="AB30" s="976">
        <v>48.5</v>
      </c>
      <c r="AC30" s="976">
        <f>IF(AB30&gt;45.9,$C30,IF(AB30&gt;0,$C31,IF(AB30=0,"0")))</f>
        <v>1</v>
      </c>
      <c r="AD30" s="976">
        <v>45</v>
      </c>
      <c r="AE30" s="976">
        <f>IF(AD30&gt;45.9,$C30,IF(AD30&gt;0,$C31,IF(AD30=0,"0")))</f>
        <v>0</v>
      </c>
      <c r="AF30" s="976">
        <v>47</v>
      </c>
      <c r="AG30" s="976">
        <f>IF(AF30&gt;45.9,$C30,IF(AF30&gt;0,$C31,IF(AF30=0,"0")))</f>
        <v>1</v>
      </c>
      <c r="AH30" s="976"/>
      <c r="AI30" s="976" t="str">
        <f>IF(AH30&gt;39,$C30,IF(AH30&gt;0,$C31,IF(AH30=0,"0")))</f>
        <v>0</v>
      </c>
      <c r="AJ30" s="976">
        <v>44</v>
      </c>
      <c r="AK30" s="976">
        <f>IF(AJ30&gt;45.9,$C30,IF(AJ30&gt;0,$C31,IF(AJ30=0,"0")))</f>
        <v>0</v>
      </c>
      <c r="AL30" s="1029"/>
      <c r="AM30" s="1029" t="str">
        <f>IF(AL30&gt;39,$C30,IF(AL30&gt;0,$C31,IF(AL30=0,"0")))</f>
        <v>0</v>
      </c>
    </row>
    <row r="31" spans="1:39" x14ac:dyDescent="0.25">
      <c r="A31" s="293">
        <v>1</v>
      </c>
      <c r="B31" s="294" t="s">
        <v>670</v>
      </c>
      <c r="C31" s="405">
        <v>0</v>
      </c>
      <c r="D31" s="977"/>
      <c r="E31" s="977"/>
      <c r="F31" s="977"/>
      <c r="G31" s="977"/>
      <c r="H31" s="977"/>
      <c r="I31" s="977"/>
      <c r="J31" s="977"/>
      <c r="K31" s="977"/>
      <c r="L31" s="977"/>
      <c r="M31" s="977"/>
      <c r="N31" s="977"/>
      <c r="O31" s="977"/>
      <c r="P31" s="977"/>
      <c r="Q31" s="977"/>
      <c r="R31" s="978"/>
      <c r="S31" s="977"/>
      <c r="T31" s="977"/>
      <c r="U31" s="977"/>
      <c r="V31" s="977"/>
      <c r="W31" s="977"/>
      <c r="X31" s="977"/>
      <c r="Y31" s="977"/>
      <c r="Z31" s="977"/>
      <c r="AA31" s="977"/>
      <c r="AB31" s="977"/>
      <c r="AC31" s="977"/>
      <c r="AD31" s="977"/>
      <c r="AE31" s="977"/>
      <c r="AF31" s="977"/>
      <c r="AG31" s="977"/>
      <c r="AH31" s="977"/>
      <c r="AI31" s="977"/>
      <c r="AJ31" s="977"/>
      <c r="AK31" s="977"/>
      <c r="AL31" s="1030"/>
      <c r="AM31" s="1030"/>
    </row>
    <row r="32" spans="1:39" x14ac:dyDescent="0.25">
      <c r="A32" s="124" t="s">
        <v>201</v>
      </c>
      <c r="B32" s="110" t="s">
        <v>225</v>
      </c>
      <c r="C32" s="404">
        <v>0</v>
      </c>
      <c r="D32" s="404"/>
      <c r="E32" s="404">
        <f t="shared" ref="E32:E48" si="18">IF(D32="S",$C32,0)</f>
        <v>0</v>
      </c>
      <c r="F32" s="404"/>
      <c r="G32" s="404">
        <f t="shared" ref="G32:G48" si="19">IF(F32="S",$C32,0)</f>
        <v>0</v>
      </c>
      <c r="H32" s="404" t="s">
        <v>108</v>
      </c>
      <c r="I32" s="404">
        <f t="shared" ref="I32:I48" si="20">IF(H32="S",$C32,0)</f>
        <v>0</v>
      </c>
      <c r="J32" s="404"/>
      <c r="K32" s="404">
        <f t="shared" ref="K32:K48" si="21">IF(J32="S",$C32,0)</f>
        <v>0</v>
      </c>
      <c r="L32" s="114" t="s">
        <v>108</v>
      </c>
      <c r="M32" s="404">
        <f t="shared" ref="M32:M48" si="22">IF(L32="S",$C32,0)</f>
        <v>0</v>
      </c>
      <c r="N32" s="114" t="s">
        <v>108</v>
      </c>
      <c r="O32" s="404">
        <f t="shared" ref="O32:O48" si="23">IF(N32="S",$C32,0)</f>
        <v>0</v>
      </c>
      <c r="P32" s="404"/>
      <c r="Q32" s="404">
        <f t="shared" ref="Q32:Q48" si="24">IF(P32="S",$C32,0)</f>
        <v>0</v>
      </c>
      <c r="R32" s="465" t="s">
        <v>108</v>
      </c>
      <c r="S32" s="404">
        <f t="shared" ref="S32:S48" si="25">IF(R32="S",$C32,0)</f>
        <v>0</v>
      </c>
      <c r="T32" s="404"/>
      <c r="U32" s="404">
        <f t="shared" ref="U32:U48" si="26">IF(T32="S",$C32,0)</f>
        <v>0</v>
      </c>
      <c r="V32" s="461" t="s">
        <v>108</v>
      </c>
      <c r="W32" s="404">
        <f t="shared" ref="W32:W48" si="27">IF(V32="S",$C32,0)</f>
        <v>0</v>
      </c>
      <c r="X32" s="114" t="s">
        <v>108</v>
      </c>
      <c r="Y32" s="404">
        <f t="shared" ref="Y32:Y48" si="28">IF(X32="S",$C32,0)</f>
        <v>0</v>
      </c>
      <c r="Z32" s="404"/>
      <c r="AA32" s="404">
        <f t="shared" ref="AA32:AA48" si="29">IF(Z32="S",$C32,0)</f>
        <v>0</v>
      </c>
      <c r="AB32" s="114"/>
      <c r="AC32" s="404">
        <f t="shared" ref="AC32:AC48" si="30">IF(AB32="S",$C32,0)</f>
        <v>0</v>
      </c>
      <c r="AD32" s="114" t="s">
        <v>108</v>
      </c>
      <c r="AE32" s="404">
        <f t="shared" ref="AE32:AE48" si="31">IF(AD32="S",$C32,0)</f>
        <v>0</v>
      </c>
      <c r="AF32" s="404"/>
      <c r="AG32" s="404">
        <f t="shared" ref="AG32:AG48" si="32">IF(AF32="S",$C32,0)</f>
        <v>0</v>
      </c>
      <c r="AH32" s="404"/>
      <c r="AI32" s="404">
        <f t="shared" ref="AI32:AI48" si="33">IF(AH32="S",$C32,0)</f>
        <v>0</v>
      </c>
      <c r="AJ32" s="461" t="s">
        <v>108</v>
      </c>
      <c r="AK32" s="404">
        <f t="shared" ref="AK32:AK48" si="34">IF(AJ32="S",$C32,0)</f>
        <v>0</v>
      </c>
      <c r="AL32" s="76"/>
      <c r="AM32" s="76">
        <f t="shared" ref="AM32:AM48" si="35">IF(AL32="S",$C32,0)</f>
        <v>0</v>
      </c>
    </row>
    <row r="33" spans="1:39" x14ac:dyDescent="0.25">
      <c r="A33" s="395">
        <v>3</v>
      </c>
      <c r="B33" s="110" t="s">
        <v>66</v>
      </c>
      <c r="C33" s="404">
        <v>2</v>
      </c>
      <c r="D33" s="404"/>
      <c r="E33" s="404">
        <f t="shared" si="18"/>
        <v>0</v>
      </c>
      <c r="F33" s="404"/>
      <c r="G33" s="404">
        <f t="shared" si="19"/>
        <v>0</v>
      </c>
      <c r="H33" s="404"/>
      <c r="I33" s="404">
        <f t="shared" si="20"/>
        <v>0</v>
      </c>
      <c r="J33" s="471" t="s">
        <v>108</v>
      </c>
      <c r="K33" s="404">
        <f t="shared" si="21"/>
        <v>2</v>
      </c>
      <c r="L33" s="404"/>
      <c r="M33" s="404">
        <f t="shared" si="22"/>
        <v>0</v>
      </c>
      <c r="N33" s="404"/>
      <c r="O33" s="404">
        <f t="shared" si="23"/>
        <v>0</v>
      </c>
      <c r="P33" s="404"/>
      <c r="Q33" s="404">
        <f t="shared" si="24"/>
        <v>0</v>
      </c>
      <c r="R33" s="404"/>
      <c r="S33" s="404">
        <f t="shared" si="25"/>
        <v>0</v>
      </c>
      <c r="T33" s="404" t="s">
        <v>108</v>
      </c>
      <c r="U33" s="404">
        <f t="shared" si="26"/>
        <v>2</v>
      </c>
      <c r="V33" s="404"/>
      <c r="W33" s="404">
        <f t="shared" si="27"/>
        <v>0</v>
      </c>
      <c r="X33" s="404"/>
      <c r="Y33" s="404">
        <f t="shared" si="28"/>
        <v>0</v>
      </c>
      <c r="Z33" s="404"/>
      <c r="AA33" s="404">
        <f t="shared" si="29"/>
        <v>0</v>
      </c>
      <c r="AB33" s="114" t="s">
        <v>108</v>
      </c>
      <c r="AC33" s="404">
        <f t="shared" si="30"/>
        <v>2</v>
      </c>
      <c r="AD33" s="404"/>
      <c r="AE33" s="404">
        <f t="shared" si="31"/>
        <v>0</v>
      </c>
      <c r="AF33" s="114" t="s">
        <v>108</v>
      </c>
      <c r="AG33" s="404">
        <f t="shared" si="32"/>
        <v>2</v>
      </c>
      <c r="AH33" s="404"/>
      <c r="AI33" s="404">
        <f t="shared" si="33"/>
        <v>0</v>
      </c>
      <c r="AJ33" s="404"/>
      <c r="AK33" s="404">
        <f t="shared" si="34"/>
        <v>0</v>
      </c>
      <c r="AL33" s="76"/>
      <c r="AM33" s="76">
        <f t="shared" si="35"/>
        <v>0</v>
      </c>
    </row>
    <row r="34" spans="1:39" x14ac:dyDescent="0.25">
      <c r="A34" s="396"/>
      <c r="B34" s="110" t="s">
        <v>67</v>
      </c>
      <c r="C34" s="404">
        <v>1</v>
      </c>
      <c r="D34" s="404"/>
      <c r="E34" s="404">
        <f t="shared" si="18"/>
        <v>0</v>
      </c>
      <c r="F34" s="404"/>
      <c r="G34" s="404">
        <f t="shared" si="19"/>
        <v>0</v>
      </c>
      <c r="H34" s="404" t="s">
        <v>108</v>
      </c>
      <c r="I34" s="404">
        <f t="shared" si="20"/>
        <v>1</v>
      </c>
      <c r="J34" s="471" t="s">
        <v>108</v>
      </c>
      <c r="K34" s="404">
        <f t="shared" si="21"/>
        <v>1</v>
      </c>
      <c r="L34" s="433" t="s">
        <v>108</v>
      </c>
      <c r="M34" s="404">
        <f t="shared" si="22"/>
        <v>1</v>
      </c>
      <c r="N34" s="433" t="s">
        <v>108</v>
      </c>
      <c r="O34" s="404">
        <f t="shared" si="23"/>
        <v>1</v>
      </c>
      <c r="P34" s="404"/>
      <c r="Q34" s="404">
        <f t="shared" si="24"/>
        <v>0</v>
      </c>
      <c r="R34" s="404"/>
      <c r="S34" s="404">
        <f t="shared" si="25"/>
        <v>0</v>
      </c>
      <c r="T34" s="404" t="s">
        <v>108</v>
      </c>
      <c r="U34" s="404">
        <f t="shared" si="26"/>
        <v>1</v>
      </c>
      <c r="V34" s="461" t="s">
        <v>108</v>
      </c>
      <c r="W34" s="404">
        <f t="shared" si="27"/>
        <v>1</v>
      </c>
      <c r="X34" s="953" t="s">
        <v>108</v>
      </c>
      <c r="Y34" s="404">
        <f t="shared" si="28"/>
        <v>1</v>
      </c>
      <c r="Z34" s="404"/>
      <c r="AA34" s="404">
        <f t="shared" si="29"/>
        <v>0</v>
      </c>
      <c r="AB34" s="404"/>
      <c r="AC34" s="404">
        <f t="shared" si="30"/>
        <v>0</v>
      </c>
      <c r="AD34" s="114" t="s">
        <v>108</v>
      </c>
      <c r="AE34" s="404">
        <f t="shared" si="31"/>
        <v>1</v>
      </c>
      <c r="AF34" s="404"/>
      <c r="AG34" s="404">
        <f t="shared" si="32"/>
        <v>0</v>
      </c>
      <c r="AH34" s="404"/>
      <c r="AI34" s="404">
        <f t="shared" si="33"/>
        <v>0</v>
      </c>
      <c r="AJ34" s="461" t="s">
        <v>108</v>
      </c>
      <c r="AK34" s="404">
        <f t="shared" si="34"/>
        <v>1</v>
      </c>
      <c r="AL34" s="76"/>
      <c r="AM34" s="76">
        <f t="shared" si="35"/>
        <v>0</v>
      </c>
    </row>
    <row r="35" spans="1:39" x14ac:dyDescent="0.25">
      <c r="A35" s="268" t="s">
        <v>41</v>
      </c>
      <c r="B35" s="259" t="s">
        <v>68</v>
      </c>
      <c r="C35" s="405">
        <v>0</v>
      </c>
      <c r="D35" s="405"/>
      <c r="E35" s="405">
        <f t="shared" si="18"/>
        <v>0</v>
      </c>
      <c r="F35" s="405"/>
      <c r="G35" s="405">
        <f t="shared" si="19"/>
        <v>0</v>
      </c>
      <c r="H35" s="405"/>
      <c r="I35" s="405">
        <f t="shared" si="20"/>
        <v>0</v>
      </c>
      <c r="J35" s="405"/>
      <c r="K35" s="405">
        <f t="shared" si="21"/>
        <v>0</v>
      </c>
      <c r="L35" s="405"/>
      <c r="M35" s="405">
        <f t="shared" si="22"/>
        <v>0</v>
      </c>
      <c r="N35" s="405"/>
      <c r="O35" s="405">
        <f t="shared" si="23"/>
        <v>0</v>
      </c>
      <c r="P35" s="405"/>
      <c r="Q35" s="405">
        <f t="shared" si="24"/>
        <v>0</v>
      </c>
      <c r="R35" s="466" t="s">
        <v>108</v>
      </c>
      <c r="S35" s="405">
        <f t="shared" si="25"/>
        <v>0</v>
      </c>
      <c r="T35" s="405"/>
      <c r="U35" s="405">
        <f t="shared" si="26"/>
        <v>0</v>
      </c>
      <c r="V35" s="405"/>
      <c r="W35" s="405">
        <f t="shared" si="27"/>
        <v>0</v>
      </c>
      <c r="X35" s="405"/>
      <c r="Y35" s="405">
        <f t="shared" si="28"/>
        <v>0</v>
      </c>
      <c r="Z35" s="405"/>
      <c r="AA35" s="405">
        <f t="shared" si="29"/>
        <v>0</v>
      </c>
      <c r="AB35" s="405"/>
      <c r="AC35" s="405">
        <f t="shared" si="30"/>
        <v>0</v>
      </c>
      <c r="AD35" s="355"/>
      <c r="AE35" s="405">
        <f t="shared" si="31"/>
        <v>0</v>
      </c>
      <c r="AF35" s="405"/>
      <c r="AG35" s="405">
        <f t="shared" si="32"/>
        <v>0</v>
      </c>
      <c r="AH35" s="405"/>
      <c r="AI35" s="405">
        <f t="shared" si="33"/>
        <v>0</v>
      </c>
      <c r="AJ35" s="462"/>
      <c r="AK35" s="405">
        <f t="shared" si="34"/>
        <v>0</v>
      </c>
      <c r="AL35" s="116"/>
      <c r="AM35" s="116">
        <f t="shared" si="35"/>
        <v>0</v>
      </c>
    </row>
    <row r="36" spans="1:39" x14ac:dyDescent="0.25">
      <c r="A36" s="248">
        <v>3</v>
      </c>
      <c r="B36" s="259" t="s">
        <v>69</v>
      </c>
      <c r="C36" s="405">
        <v>1</v>
      </c>
      <c r="D36" s="405"/>
      <c r="E36" s="405">
        <f t="shared" si="18"/>
        <v>0</v>
      </c>
      <c r="F36" s="405"/>
      <c r="G36" s="405">
        <f t="shared" si="19"/>
        <v>0</v>
      </c>
      <c r="H36" s="405" t="s">
        <v>108</v>
      </c>
      <c r="I36" s="405">
        <f t="shared" si="20"/>
        <v>1</v>
      </c>
      <c r="J36" s="472" t="s">
        <v>108</v>
      </c>
      <c r="K36" s="405">
        <f t="shared" si="21"/>
        <v>1</v>
      </c>
      <c r="L36" s="355" t="s">
        <v>108</v>
      </c>
      <c r="M36" s="405">
        <f t="shared" si="22"/>
        <v>1</v>
      </c>
      <c r="N36" s="355" t="s">
        <v>108</v>
      </c>
      <c r="O36" s="405">
        <f t="shared" si="23"/>
        <v>1</v>
      </c>
      <c r="P36" s="405"/>
      <c r="Q36" s="405">
        <f t="shared" si="24"/>
        <v>0</v>
      </c>
      <c r="R36" s="405"/>
      <c r="S36" s="405">
        <f t="shared" si="25"/>
        <v>0</v>
      </c>
      <c r="T36" s="405" t="s">
        <v>108</v>
      </c>
      <c r="U36" s="405">
        <f t="shared" si="26"/>
        <v>1</v>
      </c>
      <c r="V36" s="462" t="s">
        <v>108</v>
      </c>
      <c r="W36" s="405">
        <f t="shared" si="27"/>
        <v>1</v>
      </c>
      <c r="X36" s="355" t="s">
        <v>108</v>
      </c>
      <c r="Y36" s="405">
        <f t="shared" si="28"/>
        <v>1</v>
      </c>
      <c r="Z36" s="405"/>
      <c r="AA36" s="405">
        <f t="shared" si="29"/>
        <v>0</v>
      </c>
      <c r="AB36" s="355" t="s">
        <v>108</v>
      </c>
      <c r="AC36" s="405">
        <f t="shared" si="30"/>
        <v>1</v>
      </c>
      <c r="AD36" s="355" t="s">
        <v>108</v>
      </c>
      <c r="AE36" s="405">
        <f t="shared" si="31"/>
        <v>1</v>
      </c>
      <c r="AF36" s="355" t="s">
        <v>108</v>
      </c>
      <c r="AG36" s="405">
        <f t="shared" si="32"/>
        <v>1</v>
      </c>
      <c r="AH36" s="405"/>
      <c r="AI36" s="405">
        <f t="shared" si="33"/>
        <v>0</v>
      </c>
      <c r="AJ36" s="462" t="s">
        <v>108</v>
      </c>
      <c r="AK36" s="405">
        <f t="shared" si="34"/>
        <v>1</v>
      </c>
      <c r="AL36" s="116"/>
      <c r="AM36" s="116">
        <f t="shared" si="35"/>
        <v>0</v>
      </c>
    </row>
    <row r="37" spans="1:39" x14ac:dyDescent="0.25">
      <c r="A37" s="397"/>
      <c r="B37" s="259" t="s">
        <v>70</v>
      </c>
      <c r="C37" s="405">
        <v>1</v>
      </c>
      <c r="D37" s="405"/>
      <c r="E37" s="405">
        <f t="shared" si="18"/>
        <v>0</v>
      </c>
      <c r="F37" s="405"/>
      <c r="G37" s="405">
        <f t="shared" si="19"/>
        <v>0</v>
      </c>
      <c r="H37" s="405"/>
      <c r="I37" s="405">
        <f t="shared" si="20"/>
        <v>0</v>
      </c>
      <c r="J37" s="405"/>
      <c r="K37" s="405">
        <f t="shared" si="21"/>
        <v>0</v>
      </c>
      <c r="L37" s="405"/>
      <c r="M37" s="405">
        <f t="shared" si="22"/>
        <v>0</v>
      </c>
      <c r="N37" s="405"/>
      <c r="O37" s="405">
        <f t="shared" si="23"/>
        <v>0</v>
      </c>
      <c r="P37" s="405"/>
      <c r="Q37" s="405">
        <f t="shared" si="24"/>
        <v>0</v>
      </c>
      <c r="R37" s="405"/>
      <c r="S37" s="405">
        <f t="shared" si="25"/>
        <v>0</v>
      </c>
      <c r="T37" s="405" t="s">
        <v>108</v>
      </c>
      <c r="U37" s="405">
        <f t="shared" si="26"/>
        <v>1</v>
      </c>
      <c r="V37" s="462" t="s">
        <v>108</v>
      </c>
      <c r="W37" s="405">
        <f t="shared" si="27"/>
        <v>1</v>
      </c>
      <c r="X37" s="405"/>
      <c r="Y37" s="405">
        <f t="shared" si="28"/>
        <v>0</v>
      </c>
      <c r="Z37" s="405"/>
      <c r="AA37" s="405">
        <f t="shared" si="29"/>
        <v>0</v>
      </c>
      <c r="AB37" s="355" t="s">
        <v>108</v>
      </c>
      <c r="AC37" s="405">
        <f t="shared" si="30"/>
        <v>1</v>
      </c>
      <c r="AD37" s="405"/>
      <c r="AE37" s="405">
        <f t="shared" si="31"/>
        <v>0</v>
      </c>
      <c r="AF37" s="355" t="s">
        <v>108</v>
      </c>
      <c r="AG37" s="405">
        <f t="shared" si="32"/>
        <v>1</v>
      </c>
      <c r="AH37" s="405"/>
      <c r="AI37" s="405">
        <f t="shared" si="33"/>
        <v>0</v>
      </c>
      <c r="AJ37" s="405"/>
      <c r="AK37" s="405">
        <f t="shared" si="34"/>
        <v>0</v>
      </c>
      <c r="AL37" s="116"/>
      <c r="AM37" s="116">
        <f t="shared" si="35"/>
        <v>0</v>
      </c>
    </row>
    <row r="38" spans="1:39" x14ac:dyDescent="0.25">
      <c r="A38" s="397"/>
      <c r="B38" s="259" t="s">
        <v>71</v>
      </c>
      <c r="C38" s="405">
        <v>1</v>
      </c>
      <c r="D38" s="405"/>
      <c r="E38" s="405">
        <f t="shared" si="18"/>
        <v>0</v>
      </c>
      <c r="F38" s="405"/>
      <c r="G38" s="405">
        <f t="shared" si="19"/>
        <v>0</v>
      </c>
      <c r="H38" s="405" t="s">
        <v>108</v>
      </c>
      <c r="I38" s="405">
        <f t="shared" si="20"/>
        <v>1</v>
      </c>
      <c r="J38" s="472" t="s">
        <v>108</v>
      </c>
      <c r="K38" s="405">
        <f t="shared" si="21"/>
        <v>1</v>
      </c>
      <c r="L38" s="355" t="s">
        <v>108</v>
      </c>
      <c r="M38" s="405">
        <f t="shared" si="22"/>
        <v>1</v>
      </c>
      <c r="N38" s="355" t="s">
        <v>108</v>
      </c>
      <c r="O38" s="405">
        <f t="shared" si="23"/>
        <v>1</v>
      </c>
      <c r="P38" s="405"/>
      <c r="Q38" s="405">
        <f t="shared" si="24"/>
        <v>0</v>
      </c>
      <c r="R38" s="466" t="s">
        <v>108</v>
      </c>
      <c r="S38" s="405">
        <f t="shared" si="25"/>
        <v>1</v>
      </c>
      <c r="T38" s="405" t="s">
        <v>108</v>
      </c>
      <c r="U38" s="405">
        <f t="shared" si="26"/>
        <v>1</v>
      </c>
      <c r="V38" s="462" t="s">
        <v>108</v>
      </c>
      <c r="W38" s="405">
        <f t="shared" si="27"/>
        <v>1</v>
      </c>
      <c r="X38" s="355" t="s">
        <v>108</v>
      </c>
      <c r="Y38" s="405">
        <f t="shared" si="28"/>
        <v>1</v>
      </c>
      <c r="Z38" s="405"/>
      <c r="AA38" s="405">
        <f t="shared" si="29"/>
        <v>0</v>
      </c>
      <c r="AB38" s="355" t="s">
        <v>108</v>
      </c>
      <c r="AC38" s="405">
        <f t="shared" si="30"/>
        <v>1</v>
      </c>
      <c r="AD38" s="355" t="s">
        <v>108</v>
      </c>
      <c r="AE38" s="405">
        <f t="shared" si="31"/>
        <v>1</v>
      </c>
      <c r="AF38" s="355" t="s">
        <v>108</v>
      </c>
      <c r="AG38" s="405">
        <f t="shared" si="32"/>
        <v>1</v>
      </c>
      <c r="AH38" s="405"/>
      <c r="AI38" s="405">
        <f t="shared" si="33"/>
        <v>0</v>
      </c>
      <c r="AJ38" s="462" t="s">
        <v>108</v>
      </c>
      <c r="AK38" s="405">
        <f t="shared" si="34"/>
        <v>1</v>
      </c>
      <c r="AL38" s="116"/>
      <c r="AM38" s="116">
        <f t="shared" si="35"/>
        <v>0</v>
      </c>
    </row>
    <row r="39" spans="1:39" x14ac:dyDescent="0.25">
      <c r="A39" s="398"/>
      <c r="B39" s="259" t="s">
        <v>72</v>
      </c>
      <c r="C39" s="405">
        <v>0</v>
      </c>
      <c r="D39" s="405"/>
      <c r="E39" s="405">
        <f t="shared" si="18"/>
        <v>0</v>
      </c>
      <c r="F39" s="405"/>
      <c r="G39" s="405">
        <f t="shared" si="19"/>
        <v>0</v>
      </c>
      <c r="H39" s="405"/>
      <c r="I39" s="405">
        <f t="shared" si="20"/>
        <v>0</v>
      </c>
      <c r="J39" s="405"/>
      <c r="K39" s="405">
        <f t="shared" si="21"/>
        <v>0</v>
      </c>
      <c r="L39" s="405"/>
      <c r="M39" s="405">
        <f t="shared" si="22"/>
        <v>0</v>
      </c>
      <c r="N39" s="405"/>
      <c r="O39" s="405">
        <f t="shared" si="23"/>
        <v>0</v>
      </c>
      <c r="P39" s="405"/>
      <c r="Q39" s="405">
        <f t="shared" si="24"/>
        <v>0</v>
      </c>
      <c r="R39" s="405"/>
      <c r="S39" s="405">
        <f t="shared" si="25"/>
        <v>0</v>
      </c>
      <c r="T39" s="405"/>
      <c r="U39" s="405">
        <f t="shared" si="26"/>
        <v>0</v>
      </c>
      <c r="V39" s="405"/>
      <c r="W39" s="405">
        <f t="shared" si="27"/>
        <v>0</v>
      </c>
      <c r="X39" s="405"/>
      <c r="Y39" s="405">
        <f t="shared" si="28"/>
        <v>0</v>
      </c>
      <c r="Z39" s="405"/>
      <c r="AA39" s="405">
        <f t="shared" si="29"/>
        <v>0</v>
      </c>
      <c r="AB39" s="405"/>
      <c r="AC39" s="405">
        <f t="shared" si="30"/>
        <v>0</v>
      </c>
      <c r="AD39" s="405"/>
      <c r="AE39" s="405">
        <f t="shared" si="31"/>
        <v>0</v>
      </c>
      <c r="AF39" s="405"/>
      <c r="AG39" s="405">
        <f t="shared" si="32"/>
        <v>0</v>
      </c>
      <c r="AH39" s="405"/>
      <c r="AI39" s="405">
        <f t="shared" si="33"/>
        <v>0</v>
      </c>
      <c r="AJ39" s="405"/>
      <c r="AK39" s="405">
        <f t="shared" si="34"/>
        <v>0</v>
      </c>
      <c r="AL39" s="116"/>
      <c r="AM39" s="116">
        <f t="shared" si="35"/>
        <v>0</v>
      </c>
    </row>
    <row r="40" spans="1:39" x14ac:dyDescent="0.25">
      <c r="A40" s="124" t="s">
        <v>44</v>
      </c>
      <c r="B40" s="110" t="s">
        <v>73</v>
      </c>
      <c r="C40" s="404">
        <v>0</v>
      </c>
      <c r="D40" s="404"/>
      <c r="E40" s="404">
        <f t="shared" si="18"/>
        <v>0</v>
      </c>
      <c r="F40" s="404"/>
      <c r="G40" s="404">
        <f t="shared" si="19"/>
        <v>0</v>
      </c>
      <c r="H40" s="404"/>
      <c r="I40" s="404">
        <f t="shared" si="20"/>
        <v>0</v>
      </c>
      <c r="J40" s="404"/>
      <c r="K40" s="404">
        <f t="shared" si="21"/>
        <v>0</v>
      </c>
      <c r="L40" s="404"/>
      <c r="M40" s="404">
        <f t="shared" si="22"/>
        <v>0</v>
      </c>
      <c r="N40" s="404"/>
      <c r="O40" s="404">
        <f t="shared" si="23"/>
        <v>0</v>
      </c>
      <c r="P40" s="404"/>
      <c r="Q40" s="404">
        <f t="shared" si="24"/>
        <v>0</v>
      </c>
      <c r="R40" s="404"/>
      <c r="S40" s="404">
        <f t="shared" si="25"/>
        <v>0</v>
      </c>
      <c r="T40" s="404"/>
      <c r="U40" s="404">
        <f t="shared" si="26"/>
        <v>0</v>
      </c>
      <c r="V40" s="404"/>
      <c r="W40" s="404">
        <f t="shared" si="27"/>
        <v>0</v>
      </c>
      <c r="X40" s="404"/>
      <c r="Y40" s="404">
        <f t="shared" si="28"/>
        <v>0</v>
      </c>
      <c r="Z40" s="404"/>
      <c r="AA40" s="404">
        <f t="shared" si="29"/>
        <v>0</v>
      </c>
      <c r="AB40" s="404"/>
      <c r="AC40" s="404">
        <f t="shared" si="30"/>
        <v>0</v>
      </c>
      <c r="AD40" s="404"/>
      <c r="AE40" s="404">
        <f t="shared" si="31"/>
        <v>0</v>
      </c>
      <c r="AF40" s="404"/>
      <c r="AG40" s="404">
        <f t="shared" si="32"/>
        <v>0</v>
      </c>
      <c r="AH40" s="404"/>
      <c r="AI40" s="404">
        <f t="shared" si="33"/>
        <v>0</v>
      </c>
      <c r="AJ40" s="404"/>
      <c r="AK40" s="404">
        <f t="shared" si="34"/>
        <v>0</v>
      </c>
      <c r="AL40" s="181"/>
      <c r="AM40" s="164">
        <f t="shared" si="35"/>
        <v>0</v>
      </c>
    </row>
    <row r="41" spans="1:39" x14ac:dyDescent="0.25">
      <c r="A41" s="395">
        <v>3</v>
      </c>
      <c r="B41" s="110" t="s">
        <v>74</v>
      </c>
      <c r="C41" s="404">
        <v>1</v>
      </c>
      <c r="D41" s="404"/>
      <c r="E41" s="404">
        <f t="shared" si="18"/>
        <v>0</v>
      </c>
      <c r="F41" s="404"/>
      <c r="G41" s="404">
        <f t="shared" si="19"/>
        <v>0</v>
      </c>
      <c r="H41" s="404"/>
      <c r="I41" s="404">
        <f t="shared" si="20"/>
        <v>0</v>
      </c>
      <c r="J41" s="471" t="s">
        <v>108</v>
      </c>
      <c r="K41" s="404">
        <f t="shared" si="21"/>
        <v>1</v>
      </c>
      <c r="L41" s="404"/>
      <c r="M41" s="404">
        <f t="shared" si="22"/>
        <v>0</v>
      </c>
      <c r="N41" s="404"/>
      <c r="O41" s="404">
        <f t="shared" si="23"/>
        <v>0</v>
      </c>
      <c r="P41" s="404"/>
      <c r="Q41" s="404">
        <f t="shared" si="24"/>
        <v>0</v>
      </c>
      <c r="R41" s="404"/>
      <c r="S41" s="404">
        <f t="shared" si="25"/>
        <v>0</v>
      </c>
      <c r="T41" s="404"/>
      <c r="U41" s="404">
        <f t="shared" si="26"/>
        <v>0</v>
      </c>
      <c r="V41" s="404"/>
      <c r="W41" s="404">
        <f t="shared" si="27"/>
        <v>0</v>
      </c>
      <c r="X41" s="404"/>
      <c r="Y41" s="404">
        <f t="shared" si="28"/>
        <v>0</v>
      </c>
      <c r="Z41" s="404"/>
      <c r="AA41" s="404">
        <f t="shared" si="29"/>
        <v>0</v>
      </c>
      <c r="AB41" s="404"/>
      <c r="AC41" s="404">
        <f t="shared" si="30"/>
        <v>0</v>
      </c>
      <c r="AD41" s="404"/>
      <c r="AE41" s="404">
        <f t="shared" si="31"/>
        <v>0</v>
      </c>
      <c r="AF41" s="114"/>
      <c r="AG41" s="404">
        <f t="shared" si="32"/>
        <v>0</v>
      </c>
      <c r="AH41" s="404"/>
      <c r="AI41" s="404">
        <f t="shared" si="33"/>
        <v>0</v>
      </c>
      <c r="AJ41" s="461" t="s">
        <v>108</v>
      </c>
      <c r="AK41" s="404">
        <f t="shared" si="34"/>
        <v>1</v>
      </c>
      <c r="AL41" s="181"/>
      <c r="AM41" s="164">
        <f t="shared" si="35"/>
        <v>0</v>
      </c>
    </row>
    <row r="42" spans="1:39" x14ac:dyDescent="0.25">
      <c r="A42" s="396"/>
      <c r="B42" s="110" t="s">
        <v>75</v>
      </c>
      <c r="C42" s="404">
        <f>A41</f>
        <v>3</v>
      </c>
      <c r="D42" s="404"/>
      <c r="E42" s="404">
        <f t="shared" si="18"/>
        <v>0</v>
      </c>
      <c r="F42" s="404"/>
      <c r="G42" s="404">
        <f t="shared" si="19"/>
        <v>0</v>
      </c>
      <c r="H42" s="404" t="s">
        <v>108</v>
      </c>
      <c r="I42" s="404">
        <f t="shared" si="20"/>
        <v>3</v>
      </c>
      <c r="J42" s="404"/>
      <c r="K42" s="404">
        <f t="shared" si="21"/>
        <v>0</v>
      </c>
      <c r="L42" s="114" t="s">
        <v>108</v>
      </c>
      <c r="M42" s="404">
        <f t="shared" si="22"/>
        <v>3</v>
      </c>
      <c r="N42" s="114" t="s">
        <v>108</v>
      </c>
      <c r="O42" s="404">
        <f t="shared" si="23"/>
        <v>3</v>
      </c>
      <c r="P42" s="404"/>
      <c r="Q42" s="404">
        <f t="shared" si="24"/>
        <v>0</v>
      </c>
      <c r="R42" s="465" t="s">
        <v>108</v>
      </c>
      <c r="S42" s="404">
        <f t="shared" si="25"/>
        <v>3</v>
      </c>
      <c r="T42" s="404" t="s">
        <v>108</v>
      </c>
      <c r="U42" s="404">
        <f t="shared" si="26"/>
        <v>3</v>
      </c>
      <c r="V42" s="461" t="s">
        <v>108</v>
      </c>
      <c r="W42" s="404">
        <f t="shared" si="27"/>
        <v>3</v>
      </c>
      <c r="X42" s="114" t="s">
        <v>108</v>
      </c>
      <c r="Y42" s="404">
        <f t="shared" si="28"/>
        <v>3</v>
      </c>
      <c r="Z42" s="404"/>
      <c r="AA42" s="404">
        <f t="shared" si="29"/>
        <v>0</v>
      </c>
      <c r="AB42" s="114" t="s">
        <v>108</v>
      </c>
      <c r="AC42" s="404">
        <f t="shared" si="30"/>
        <v>3</v>
      </c>
      <c r="AD42" s="114" t="s">
        <v>108</v>
      </c>
      <c r="AE42" s="404">
        <f t="shared" si="31"/>
        <v>3</v>
      </c>
      <c r="AF42" s="114" t="s">
        <v>108</v>
      </c>
      <c r="AG42" s="404">
        <f t="shared" si="32"/>
        <v>3</v>
      </c>
      <c r="AH42" s="404"/>
      <c r="AI42" s="404">
        <f t="shared" si="33"/>
        <v>0</v>
      </c>
      <c r="AJ42" s="404"/>
      <c r="AK42" s="404">
        <f t="shared" si="34"/>
        <v>0</v>
      </c>
      <c r="AL42" s="181"/>
      <c r="AM42" s="164">
        <f t="shared" si="35"/>
        <v>0</v>
      </c>
    </row>
    <row r="43" spans="1:39" x14ac:dyDescent="0.25">
      <c r="A43" s="268" t="s">
        <v>43</v>
      </c>
      <c r="B43" s="259" t="s">
        <v>76</v>
      </c>
      <c r="C43" s="405">
        <v>1</v>
      </c>
      <c r="D43" s="405"/>
      <c r="E43" s="405">
        <f t="shared" si="18"/>
        <v>0</v>
      </c>
      <c r="F43" s="405"/>
      <c r="G43" s="405">
        <f t="shared" si="19"/>
        <v>0</v>
      </c>
      <c r="H43" s="405" t="s">
        <v>108</v>
      </c>
      <c r="I43" s="405">
        <f t="shared" si="20"/>
        <v>1</v>
      </c>
      <c r="J43" s="434" t="s">
        <v>108</v>
      </c>
      <c r="K43" s="405">
        <f t="shared" si="21"/>
        <v>1</v>
      </c>
      <c r="L43" s="355" t="s">
        <v>108</v>
      </c>
      <c r="M43" s="405">
        <f t="shared" si="22"/>
        <v>1</v>
      </c>
      <c r="N43" s="355" t="s">
        <v>108</v>
      </c>
      <c r="O43" s="405">
        <f t="shared" si="23"/>
        <v>1</v>
      </c>
      <c r="P43" s="405"/>
      <c r="Q43" s="405">
        <f t="shared" si="24"/>
        <v>0</v>
      </c>
      <c r="R43" s="466" t="s">
        <v>108</v>
      </c>
      <c r="S43" s="405">
        <f t="shared" si="25"/>
        <v>1</v>
      </c>
      <c r="T43" s="405" t="s">
        <v>108</v>
      </c>
      <c r="U43" s="405">
        <f t="shared" si="26"/>
        <v>1</v>
      </c>
      <c r="V43" s="462" t="s">
        <v>108</v>
      </c>
      <c r="W43" s="405">
        <f t="shared" si="27"/>
        <v>1</v>
      </c>
      <c r="X43" s="405"/>
      <c r="Y43" s="405">
        <f t="shared" si="28"/>
        <v>0</v>
      </c>
      <c r="Z43" s="405"/>
      <c r="AA43" s="405">
        <f t="shared" si="29"/>
        <v>0</v>
      </c>
      <c r="AB43" s="355" t="s">
        <v>108</v>
      </c>
      <c r="AC43" s="405">
        <f t="shared" si="30"/>
        <v>1</v>
      </c>
      <c r="AD43" s="355" t="s">
        <v>108</v>
      </c>
      <c r="AE43" s="405">
        <f t="shared" si="31"/>
        <v>1</v>
      </c>
      <c r="AF43" s="355" t="s">
        <v>108</v>
      </c>
      <c r="AG43" s="405">
        <f t="shared" si="32"/>
        <v>1</v>
      </c>
      <c r="AH43" s="405"/>
      <c r="AI43" s="405">
        <f t="shared" si="33"/>
        <v>0</v>
      </c>
      <c r="AJ43" s="462" t="s">
        <v>108</v>
      </c>
      <c r="AK43" s="405">
        <f t="shared" si="34"/>
        <v>1</v>
      </c>
      <c r="AL43" s="182"/>
      <c r="AM43" s="116">
        <f t="shared" si="35"/>
        <v>0</v>
      </c>
    </row>
    <row r="44" spans="1:39" x14ac:dyDescent="0.25">
      <c r="A44" s="248">
        <v>4</v>
      </c>
      <c r="B44" s="259" t="s">
        <v>42</v>
      </c>
      <c r="C44" s="405">
        <v>1</v>
      </c>
      <c r="D44" s="405"/>
      <c r="E44" s="405">
        <f t="shared" si="18"/>
        <v>0</v>
      </c>
      <c r="F44" s="405"/>
      <c r="G44" s="405">
        <f t="shared" si="19"/>
        <v>0</v>
      </c>
      <c r="H44" s="405" t="s">
        <v>108</v>
      </c>
      <c r="I44" s="405">
        <f t="shared" si="20"/>
        <v>1</v>
      </c>
      <c r="J44" s="472" t="s">
        <v>108</v>
      </c>
      <c r="K44" s="405">
        <f t="shared" si="21"/>
        <v>1</v>
      </c>
      <c r="L44" s="355" t="s">
        <v>108</v>
      </c>
      <c r="M44" s="405">
        <f t="shared" si="22"/>
        <v>1</v>
      </c>
      <c r="N44" s="355" t="s">
        <v>108</v>
      </c>
      <c r="O44" s="405">
        <f t="shared" si="23"/>
        <v>1</v>
      </c>
      <c r="P44" s="405"/>
      <c r="Q44" s="405">
        <f t="shared" si="24"/>
        <v>0</v>
      </c>
      <c r="R44" s="466" t="s">
        <v>108</v>
      </c>
      <c r="S44" s="405">
        <f t="shared" si="25"/>
        <v>1</v>
      </c>
      <c r="T44" s="405" t="s">
        <v>108</v>
      </c>
      <c r="U44" s="405">
        <f t="shared" si="26"/>
        <v>1</v>
      </c>
      <c r="V44" s="462" t="s">
        <v>108</v>
      </c>
      <c r="W44" s="405">
        <f t="shared" si="27"/>
        <v>1</v>
      </c>
      <c r="X44" s="355" t="s">
        <v>108</v>
      </c>
      <c r="Y44" s="405">
        <f t="shared" si="28"/>
        <v>1</v>
      </c>
      <c r="Z44" s="405"/>
      <c r="AA44" s="405">
        <f t="shared" si="29"/>
        <v>0</v>
      </c>
      <c r="AB44" s="355" t="s">
        <v>108</v>
      </c>
      <c r="AC44" s="405">
        <f t="shared" si="30"/>
        <v>1</v>
      </c>
      <c r="AD44" s="355" t="s">
        <v>108</v>
      </c>
      <c r="AE44" s="405">
        <f t="shared" si="31"/>
        <v>1</v>
      </c>
      <c r="AF44" s="355" t="s">
        <v>108</v>
      </c>
      <c r="AG44" s="405">
        <f t="shared" si="32"/>
        <v>1</v>
      </c>
      <c r="AH44" s="405"/>
      <c r="AI44" s="405">
        <f t="shared" si="33"/>
        <v>0</v>
      </c>
      <c r="AJ44" s="462" t="s">
        <v>108</v>
      </c>
      <c r="AK44" s="405">
        <f t="shared" si="34"/>
        <v>1</v>
      </c>
      <c r="AL44" s="182"/>
      <c r="AM44" s="116">
        <f t="shared" si="35"/>
        <v>0</v>
      </c>
    </row>
    <row r="45" spans="1:39" x14ac:dyDescent="0.25">
      <c r="A45" s="397"/>
      <c r="B45" s="259" t="s">
        <v>77</v>
      </c>
      <c r="C45" s="405">
        <v>1</v>
      </c>
      <c r="D45" s="405"/>
      <c r="E45" s="405">
        <f t="shared" si="18"/>
        <v>0</v>
      </c>
      <c r="F45" s="405"/>
      <c r="G45" s="405">
        <f t="shared" si="19"/>
        <v>0</v>
      </c>
      <c r="H45" s="405" t="s">
        <v>108</v>
      </c>
      <c r="I45" s="405">
        <f t="shared" si="20"/>
        <v>1</v>
      </c>
      <c r="J45" s="472" t="s">
        <v>108</v>
      </c>
      <c r="K45" s="405">
        <f t="shared" si="21"/>
        <v>1</v>
      </c>
      <c r="L45" s="355" t="s">
        <v>108</v>
      </c>
      <c r="M45" s="405">
        <f t="shared" si="22"/>
        <v>1</v>
      </c>
      <c r="N45" s="355" t="s">
        <v>108</v>
      </c>
      <c r="O45" s="405">
        <f t="shared" si="23"/>
        <v>1</v>
      </c>
      <c r="P45" s="405"/>
      <c r="Q45" s="405">
        <f t="shared" si="24"/>
        <v>0</v>
      </c>
      <c r="R45" s="466" t="s">
        <v>108</v>
      </c>
      <c r="S45" s="405">
        <f t="shared" si="25"/>
        <v>1</v>
      </c>
      <c r="T45" s="405" t="s">
        <v>108</v>
      </c>
      <c r="U45" s="405">
        <f t="shared" si="26"/>
        <v>1</v>
      </c>
      <c r="V45" s="462" t="s">
        <v>108</v>
      </c>
      <c r="W45" s="405">
        <f t="shared" si="27"/>
        <v>1</v>
      </c>
      <c r="X45" s="355" t="s">
        <v>108</v>
      </c>
      <c r="Y45" s="405">
        <f t="shared" si="28"/>
        <v>1</v>
      </c>
      <c r="Z45" s="405"/>
      <c r="AA45" s="405">
        <f t="shared" si="29"/>
        <v>0</v>
      </c>
      <c r="AB45" s="355" t="s">
        <v>108</v>
      </c>
      <c r="AC45" s="405">
        <f t="shared" si="30"/>
        <v>1</v>
      </c>
      <c r="AD45" s="355" t="s">
        <v>108</v>
      </c>
      <c r="AE45" s="405">
        <f t="shared" si="31"/>
        <v>1</v>
      </c>
      <c r="AF45" s="355" t="s">
        <v>108</v>
      </c>
      <c r="AG45" s="405">
        <f t="shared" si="32"/>
        <v>1</v>
      </c>
      <c r="AH45" s="405"/>
      <c r="AI45" s="405">
        <f t="shared" si="33"/>
        <v>0</v>
      </c>
      <c r="AJ45" s="462" t="s">
        <v>108</v>
      </c>
      <c r="AK45" s="405">
        <f t="shared" si="34"/>
        <v>1</v>
      </c>
      <c r="AL45" s="182"/>
      <c r="AM45" s="116">
        <f t="shared" si="35"/>
        <v>0</v>
      </c>
    </row>
    <row r="46" spans="1:39" x14ac:dyDescent="0.25">
      <c r="A46" s="398"/>
      <c r="B46" s="259" t="s">
        <v>229</v>
      </c>
      <c r="C46" s="405">
        <v>1</v>
      </c>
      <c r="D46" s="405"/>
      <c r="E46" s="405">
        <f t="shared" si="18"/>
        <v>0</v>
      </c>
      <c r="F46" s="405"/>
      <c r="G46" s="405">
        <f t="shared" si="19"/>
        <v>0</v>
      </c>
      <c r="H46" s="405" t="s">
        <v>108</v>
      </c>
      <c r="I46" s="405">
        <f t="shared" si="20"/>
        <v>1</v>
      </c>
      <c r="J46" s="405"/>
      <c r="K46" s="405">
        <f t="shared" si="21"/>
        <v>0</v>
      </c>
      <c r="L46" s="355" t="s">
        <v>108</v>
      </c>
      <c r="M46" s="405">
        <f t="shared" si="22"/>
        <v>1</v>
      </c>
      <c r="N46" s="355" t="s">
        <v>108</v>
      </c>
      <c r="O46" s="405">
        <f t="shared" si="23"/>
        <v>1</v>
      </c>
      <c r="P46" s="405"/>
      <c r="Q46" s="405">
        <f t="shared" si="24"/>
        <v>0</v>
      </c>
      <c r="R46" s="405"/>
      <c r="S46" s="405">
        <f t="shared" si="25"/>
        <v>0</v>
      </c>
      <c r="T46" s="405" t="s">
        <v>108</v>
      </c>
      <c r="U46" s="405">
        <f t="shared" si="26"/>
        <v>1</v>
      </c>
      <c r="V46" s="462" t="s">
        <v>108</v>
      </c>
      <c r="W46" s="405">
        <f t="shared" si="27"/>
        <v>1</v>
      </c>
      <c r="X46" s="355" t="s">
        <v>108</v>
      </c>
      <c r="Y46" s="405">
        <f t="shared" si="28"/>
        <v>1</v>
      </c>
      <c r="Z46" s="405"/>
      <c r="AA46" s="405">
        <f t="shared" si="29"/>
        <v>0</v>
      </c>
      <c r="AB46" s="355" t="s">
        <v>108</v>
      </c>
      <c r="AC46" s="405">
        <f t="shared" si="30"/>
        <v>1</v>
      </c>
      <c r="AD46" s="355" t="s">
        <v>108</v>
      </c>
      <c r="AE46" s="405">
        <f t="shared" si="31"/>
        <v>1</v>
      </c>
      <c r="AF46" s="355" t="s">
        <v>108</v>
      </c>
      <c r="AG46" s="405">
        <f t="shared" si="32"/>
        <v>1</v>
      </c>
      <c r="AH46" s="405"/>
      <c r="AI46" s="405">
        <f t="shared" si="33"/>
        <v>0</v>
      </c>
      <c r="AJ46" s="462" t="s">
        <v>108</v>
      </c>
      <c r="AK46" s="405">
        <f t="shared" si="34"/>
        <v>1</v>
      </c>
      <c r="AL46" s="182"/>
      <c r="AM46" s="116">
        <f t="shared" si="35"/>
        <v>0</v>
      </c>
    </row>
    <row r="47" spans="1:39" x14ac:dyDescent="0.25">
      <c r="A47" s="124" t="s">
        <v>78</v>
      </c>
      <c r="B47" s="110" t="s">
        <v>79</v>
      </c>
      <c r="C47" s="404">
        <v>1</v>
      </c>
      <c r="D47" s="404"/>
      <c r="E47" s="404">
        <f t="shared" si="18"/>
        <v>0</v>
      </c>
      <c r="F47" s="404"/>
      <c r="G47" s="404">
        <f t="shared" si="19"/>
        <v>0</v>
      </c>
      <c r="H47" s="404"/>
      <c r="I47" s="404">
        <f t="shared" si="20"/>
        <v>0</v>
      </c>
      <c r="J47" s="404"/>
      <c r="K47" s="404">
        <f t="shared" si="21"/>
        <v>0</v>
      </c>
      <c r="L47" s="404"/>
      <c r="M47" s="404">
        <f t="shared" si="22"/>
        <v>0</v>
      </c>
      <c r="N47" s="404"/>
      <c r="O47" s="404">
        <f t="shared" si="23"/>
        <v>0</v>
      </c>
      <c r="P47" s="404"/>
      <c r="Q47" s="404">
        <f t="shared" si="24"/>
        <v>0</v>
      </c>
      <c r="R47" s="404"/>
      <c r="S47" s="404">
        <f t="shared" si="25"/>
        <v>0</v>
      </c>
      <c r="T47" s="404" t="s">
        <v>108</v>
      </c>
      <c r="U47" s="404">
        <f t="shared" si="26"/>
        <v>1</v>
      </c>
      <c r="V47" s="404"/>
      <c r="W47" s="404">
        <f t="shared" si="27"/>
        <v>0</v>
      </c>
      <c r="X47" s="404"/>
      <c r="Y47" s="404">
        <f t="shared" si="28"/>
        <v>0</v>
      </c>
      <c r="Z47" s="404"/>
      <c r="AA47" s="404">
        <f t="shared" si="29"/>
        <v>0</v>
      </c>
      <c r="AB47" s="114" t="s">
        <v>108</v>
      </c>
      <c r="AC47" s="404">
        <f t="shared" si="30"/>
        <v>1</v>
      </c>
      <c r="AD47" s="114" t="s">
        <v>108</v>
      </c>
      <c r="AE47" s="404">
        <f t="shared" si="31"/>
        <v>1</v>
      </c>
      <c r="AF47" s="404"/>
      <c r="AG47" s="404">
        <f t="shared" si="32"/>
        <v>0</v>
      </c>
      <c r="AH47" s="404"/>
      <c r="AI47" s="404">
        <f t="shared" si="33"/>
        <v>0</v>
      </c>
      <c r="AJ47" s="404"/>
      <c r="AK47" s="404">
        <f t="shared" si="34"/>
        <v>0</v>
      </c>
      <c r="AL47" s="76"/>
      <c r="AM47" s="164">
        <f t="shared" si="35"/>
        <v>0</v>
      </c>
    </row>
    <row r="48" spans="1:39" x14ac:dyDescent="0.25">
      <c r="A48" s="414">
        <v>2</v>
      </c>
      <c r="B48" s="110" t="s">
        <v>80</v>
      </c>
      <c r="C48" s="404">
        <v>2</v>
      </c>
      <c r="D48" s="404"/>
      <c r="E48" s="404">
        <f t="shared" si="18"/>
        <v>0</v>
      </c>
      <c r="F48" s="404"/>
      <c r="G48" s="404">
        <f t="shared" si="19"/>
        <v>0</v>
      </c>
      <c r="H48" s="404"/>
      <c r="I48" s="404">
        <f t="shared" si="20"/>
        <v>0</v>
      </c>
      <c r="J48" s="404"/>
      <c r="K48" s="404">
        <f t="shared" si="21"/>
        <v>0</v>
      </c>
      <c r="L48" s="404"/>
      <c r="M48" s="404">
        <f t="shared" si="22"/>
        <v>0</v>
      </c>
      <c r="N48" s="114" t="s">
        <v>108</v>
      </c>
      <c r="O48" s="404">
        <f t="shared" si="23"/>
        <v>2</v>
      </c>
      <c r="P48" s="404"/>
      <c r="Q48" s="404">
        <f t="shared" si="24"/>
        <v>0</v>
      </c>
      <c r="R48" s="404"/>
      <c r="S48" s="404">
        <f t="shared" si="25"/>
        <v>0</v>
      </c>
      <c r="T48" s="404"/>
      <c r="U48" s="404">
        <f t="shared" si="26"/>
        <v>0</v>
      </c>
      <c r="V48" s="461" t="s">
        <v>108</v>
      </c>
      <c r="W48" s="404">
        <f t="shared" si="27"/>
        <v>2</v>
      </c>
      <c r="X48" s="404"/>
      <c r="Y48" s="404">
        <f t="shared" si="28"/>
        <v>0</v>
      </c>
      <c r="Z48" s="404"/>
      <c r="AA48" s="404">
        <f t="shared" si="29"/>
        <v>0</v>
      </c>
      <c r="AB48" s="404"/>
      <c r="AC48" s="404">
        <f t="shared" si="30"/>
        <v>0</v>
      </c>
      <c r="AD48" s="404"/>
      <c r="AE48" s="404">
        <f t="shared" si="31"/>
        <v>0</v>
      </c>
      <c r="AF48" s="404"/>
      <c r="AG48" s="404">
        <f t="shared" si="32"/>
        <v>0</v>
      </c>
      <c r="AH48" s="404"/>
      <c r="AI48" s="404">
        <f t="shared" si="33"/>
        <v>0</v>
      </c>
      <c r="AJ48" s="461" t="s">
        <v>108</v>
      </c>
      <c r="AK48" s="404">
        <f t="shared" si="34"/>
        <v>2</v>
      </c>
      <c r="AL48" s="76"/>
      <c r="AM48" s="164">
        <f t="shared" si="35"/>
        <v>0</v>
      </c>
    </row>
    <row r="49" spans="1:39" x14ac:dyDescent="0.25">
      <c r="A49" s="268" t="s">
        <v>81</v>
      </c>
      <c r="B49" s="259" t="s">
        <v>82</v>
      </c>
      <c r="C49" s="405">
        <v>1</v>
      </c>
      <c r="D49" s="405"/>
      <c r="E49" s="405">
        <f t="shared" ref="E49:E57" si="36">IF(D49="S",$C49,0)</f>
        <v>0</v>
      </c>
      <c r="F49" s="405"/>
      <c r="G49" s="405">
        <f t="shared" ref="G49:G57" si="37">IF(F49="S",$C49,0)</f>
        <v>0</v>
      </c>
      <c r="H49" s="405"/>
      <c r="I49" s="405">
        <f t="shared" ref="I49:I57" si="38">IF(H49="S",$C49,0)</f>
        <v>0</v>
      </c>
      <c r="J49" s="405"/>
      <c r="K49" s="405">
        <f t="shared" ref="K49:K57" si="39">IF(J49="S",$C49,0)</f>
        <v>0</v>
      </c>
      <c r="L49" s="405"/>
      <c r="M49" s="405">
        <f t="shared" ref="M49:M57" si="40">IF(L49="S",$C49,0)</f>
        <v>0</v>
      </c>
      <c r="N49" s="405"/>
      <c r="O49" s="405">
        <f t="shared" ref="O49:O57" si="41">IF(N49="S",$C49,0)</f>
        <v>0</v>
      </c>
      <c r="P49" s="405"/>
      <c r="Q49" s="405">
        <f t="shared" ref="Q49:Q57" si="42">IF(P49="S",$C49,0)</f>
        <v>0</v>
      </c>
      <c r="R49" s="405"/>
      <c r="S49" s="405">
        <f t="shared" ref="S49:S57" si="43">IF(R49="S",$C49,0)</f>
        <v>0</v>
      </c>
      <c r="T49" s="405"/>
      <c r="U49" s="405">
        <f t="shared" ref="U49:U57" si="44">IF(T49="S",$C49,0)</f>
        <v>0</v>
      </c>
      <c r="V49" s="405"/>
      <c r="W49" s="405">
        <f t="shared" ref="W49:W57" si="45">IF(V49="S",$C49,0)</f>
        <v>0</v>
      </c>
      <c r="X49" s="405"/>
      <c r="Y49" s="405">
        <f t="shared" ref="Y49:Y57" si="46">IF(X49="S",$C49,0)</f>
        <v>0</v>
      </c>
      <c r="Z49" s="405"/>
      <c r="AA49" s="405">
        <f t="shared" ref="AA49:AA57" si="47">IF(Z49="S",$C49,0)</f>
        <v>0</v>
      </c>
      <c r="AB49" s="405"/>
      <c r="AC49" s="405">
        <f t="shared" ref="AC49:AC57" si="48">IF(AB49="S",$C49,0)</f>
        <v>0</v>
      </c>
      <c r="AD49" s="405"/>
      <c r="AE49" s="405">
        <f t="shared" ref="AE49:AE57" si="49">IF(AD49="S",$C49,0)</f>
        <v>0</v>
      </c>
      <c r="AF49" s="405"/>
      <c r="AG49" s="405">
        <f t="shared" ref="AG49:AG57" si="50">IF(AF49="S",$C49,0)</f>
        <v>0</v>
      </c>
      <c r="AH49" s="405"/>
      <c r="AI49" s="405">
        <f t="shared" ref="AI49:AI57" si="51">IF(AH49="S",$C49,0)</f>
        <v>0</v>
      </c>
      <c r="AJ49" s="405"/>
      <c r="AK49" s="405">
        <f t="shared" ref="AK49:AK57" si="52">IF(AJ49="S",$C49,0)</f>
        <v>0</v>
      </c>
      <c r="AL49" s="116"/>
      <c r="AM49" s="116">
        <f t="shared" ref="AM49:AM57" si="53">IF(AL49="S",$C49,0)</f>
        <v>0</v>
      </c>
    </row>
    <row r="50" spans="1:39" x14ac:dyDescent="0.25">
      <c r="A50" s="248">
        <v>6</v>
      </c>
      <c r="B50" s="259" t="s">
        <v>230</v>
      </c>
      <c r="C50" s="405">
        <v>0.5</v>
      </c>
      <c r="D50" s="405"/>
      <c r="E50" s="405">
        <f t="shared" si="36"/>
        <v>0</v>
      </c>
      <c r="F50" s="405"/>
      <c r="G50" s="405">
        <f t="shared" si="37"/>
        <v>0</v>
      </c>
      <c r="H50" s="405" t="s">
        <v>108</v>
      </c>
      <c r="I50" s="405">
        <f t="shared" si="38"/>
        <v>0.5</v>
      </c>
      <c r="J50" s="405"/>
      <c r="K50" s="405">
        <f t="shared" si="39"/>
        <v>0</v>
      </c>
      <c r="L50" s="355" t="s">
        <v>108</v>
      </c>
      <c r="M50" s="405">
        <f t="shared" si="40"/>
        <v>0.5</v>
      </c>
      <c r="N50" s="355" t="s">
        <v>108</v>
      </c>
      <c r="O50" s="405">
        <f t="shared" si="41"/>
        <v>0.5</v>
      </c>
      <c r="P50" s="405"/>
      <c r="Q50" s="405">
        <f t="shared" si="42"/>
        <v>0</v>
      </c>
      <c r="R50" s="466" t="s">
        <v>108</v>
      </c>
      <c r="S50" s="405">
        <f t="shared" si="43"/>
        <v>0.5</v>
      </c>
      <c r="T50" s="405" t="s">
        <v>108</v>
      </c>
      <c r="U50" s="405">
        <f t="shared" si="44"/>
        <v>0.5</v>
      </c>
      <c r="V50" s="462" t="s">
        <v>108</v>
      </c>
      <c r="W50" s="405">
        <f t="shared" si="45"/>
        <v>0.5</v>
      </c>
      <c r="X50" s="355" t="s">
        <v>108</v>
      </c>
      <c r="Y50" s="405">
        <f t="shared" si="46"/>
        <v>0.5</v>
      </c>
      <c r="Z50" s="405"/>
      <c r="AA50" s="405">
        <f t="shared" si="47"/>
        <v>0</v>
      </c>
      <c r="AB50" s="355" t="s">
        <v>108</v>
      </c>
      <c r="AC50" s="405">
        <f t="shared" si="48"/>
        <v>0.5</v>
      </c>
      <c r="AD50" s="355" t="s">
        <v>108</v>
      </c>
      <c r="AE50" s="405">
        <f t="shared" si="49"/>
        <v>0.5</v>
      </c>
      <c r="AF50" s="355" t="s">
        <v>108</v>
      </c>
      <c r="AG50" s="405">
        <f t="shared" si="50"/>
        <v>0.5</v>
      </c>
      <c r="AH50" s="405"/>
      <c r="AI50" s="405">
        <f t="shared" si="51"/>
        <v>0</v>
      </c>
      <c r="AJ50" s="355" t="s">
        <v>108</v>
      </c>
      <c r="AK50" s="405">
        <f t="shared" si="52"/>
        <v>0.5</v>
      </c>
      <c r="AL50" s="116"/>
      <c r="AM50" s="116">
        <f t="shared" si="53"/>
        <v>0</v>
      </c>
    </row>
    <row r="51" spans="1:39" x14ac:dyDescent="0.25">
      <c r="A51" s="276"/>
      <c r="B51" s="259" t="s">
        <v>231</v>
      </c>
      <c r="C51" s="405">
        <v>0</v>
      </c>
      <c r="D51" s="405"/>
      <c r="E51" s="405">
        <f t="shared" si="36"/>
        <v>0</v>
      </c>
      <c r="F51" s="405"/>
      <c r="G51" s="405">
        <f t="shared" si="37"/>
        <v>0</v>
      </c>
      <c r="H51" s="405"/>
      <c r="I51" s="405">
        <f t="shared" si="38"/>
        <v>0</v>
      </c>
      <c r="J51" s="434" t="s">
        <v>108</v>
      </c>
      <c r="K51" s="405">
        <f t="shared" si="39"/>
        <v>0</v>
      </c>
      <c r="L51" s="405"/>
      <c r="M51" s="405">
        <f t="shared" si="40"/>
        <v>0</v>
      </c>
      <c r="N51" s="405"/>
      <c r="O51" s="405">
        <f t="shared" si="41"/>
        <v>0</v>
      </c>
      <c r="P51" s="405"/>
      <c r="Q51" s="405">
        <f t="shared" si="42"/>
        <v>0</v>
      </c>
      <c r="R51" s="405"/>
      <c r="S51" s="405">
        <f t="shared" si="43"/>
        <v>0</v>
      </c>
      <c r="T51" s="405"/>
      <c r="U51" s="405">
        <f t="shared" si="44"/>
        <v>0</v>
      </c>
      <c r="V51" s="405"/>
      <c r="W51" s="405">
        <f t="shared" si="45"/>
        <v>0</v>
      </c>
      <c r="X51" s="405"/>
      <c r="Y51" s="405">
        <f t="shared" si="46"/>
        <v>0</v>
      </c>
      <c r="Z51" s="405"/>
      <c r="AA51" s="405">
        <f t="shared" si="47"/>
        <v>0</v>
      </c>
      <c r="AB51" s="405"/>
      <c r="AC51" s="405">
        <f t="shared" si="48"/>
        <v>0</v>
      </c>
      <c r="AD51" s="405"/>
      <c r="AE51" s="405">
        <f t="shared" si="49"/>
        <v>0</v>
      </c>
      <c r="AF51" s="405"/>
      <c r="AG51" s="405">
        <f t="shared" si="50"/>
        <v>0</v>
      </c>
      <c r="AH51" s="405"/>
      <c r="AI51" s="405">
        <f t="shared" si="51"/>
        <v>0</v>
      </c>
      <c r="AJ51" s="405"/>
      <c r="AK51" s="405">
        <f t="shared" si="52"/>
        <v>0</v>
      </c>
      <c r="AL51" s="116"/>
      <c r="AM51" s="116">
        <f t="shared" si="53"/>
        <v>0</v>
      </c>
    </row>
    <row r="52" spans="1:39" s="89" customFormat="1" x14ac:dyDescent="0.25">
      <c r="A52" s="276"/>
      <c r="B52" s="259" t="s">
        <v>83</v>
      </c>
      <c r="C52" s="405">
        <v>1</v>
      </c>
      <c r="D52" s="405"/>
      <c r="E52" s="405">
        <f t="shared" si="36"/>
        <v>0</v>
      </c>
      <c r="F52" s="405"/>
      <c r="G52" s="405">
        <f t="shared" si="37"/>
        <v>0</v>
      </c>
      <c r="H52" s="405" t="s">
        <v>108</v>
      </c>
      <c r="I52" s="405">
        <f t="shared" si="38"/>
        <v>1</v>
      </c>
      <c r="J52" s="405"/>
      <c r="K52" s="405">
        <f t="shared" si="39"/>
        <v>0</v>
      </c>
      <c r="L52" s="355" t="s">
        <v>108</v>
      </c>
      <c r="M52" s="405">
        <f t="shared" si="40"/>
        <v>1</v>
      </c>
      <c r="N52" s="405"/>
      <c r="O52" s="405">
        <f t="shared" si="41"/>
        <v>0</v>
      </c>
      <c r="P52" s="405"/>
      <c r="Q52" s="405">
        <f t="shared" si="42"/>
        <v>0</v>
      </c>
      <c r="R52" s="466" t="s">
        <v>108</v>
      </c>
      <c r="S52" s="405">
        <f t="shared" si="43"/>
        <v>1</v>
      </c>
      <c r="T52" s="405" t="s">
        <v>108</v>
      </c>
      <c r="U52" s="405">
        <f t="shared" si="44"/>
        <v>1</v>
      </c>
      <c r="V52" s="462" t="s">
        <v>108</v>
      </c>
      <c r="W52" s="405">
        <f t="shared" si="45"/>
        <v>1</v>
      </c>
      <c r="X52" s="405"/>
      <c r="Y52" s="405">
        <f t="shared" si="46"/>
        <v>0</v>
      </c>
      <c r="Z52" s="405"/>
      <c r="AA52" s="405">
        <f t="shared" si="47"/>
        <v>0</v>
      </c>
      <c r="AB52" s="405"/>
      <c r="AC52" s="405">
        <f t="shared" si="48"/>
        <v>0</v>
      </c>
      <c r="AD52" s="355" t="s">
        <v>108</v>
      </c>
      <c r="AE52" s="405">
        <f t="shared" si="49"/>
        <v>1</v>
      </c>
      <c r="AF52" s="405"/>
      <c r="AG52" s="405">
        <f t="shared" si="50"/>
        <v>0</v>
      </c>
      <c r="AH52" s="405"/>
      <c r="AI52" s="405">
        <f t="shared" si="51"/>
        <v>0</v>
      </c>
      <c r="AJ52" s="405"/>
      <c r="AK52" s="405">
        <f t="shared" si="52"/>
        <v>0</v>
      </c>
      <c r="AL52" s="116"/>
      <c r="AM52" s="116">
        <f t="shared" si="53"/>
        <v>0</v>
      </c>
    </row>
    <row r="53" spans="1:39" s="89" customFormat="1" x14ac:dyDescent="0.25">
      <c r="A53" s="276"/>
      <c r="B53" s="259" t="s">
        <v>84</v>
      </c>
      <c r="C53" s="405">
        <v>0</v>
      </c>
      <c r="D53" s="405"/>
      <c r="E53" s="405">
        <f t="shared" si="36"/>
        <v>0</v>
      </c>
      <c r="F53" s="405"/>
      <c r="G53" s="405">
        <f t="shared" si="37"/>
        <v>0</v>
      </c>
      <c r="H53" s="405"/>
      <c r="I53" s="405">
        <f t="shared" si="38"/>
        <v>0</v>
      </c>
      <c r="J53" s="434" t="s">
        <v>108</v>
      </c>
      <c r="K53" s="405">
        <f t="shared" si="39"/>
        <v>0</v>
      </c>
      <c r="L53" s="405"/>
      <c r="M53" s="405">
        <f t="shared" si="40"/>
        <v>0</v>
      </c>
      <c r="N53" s="355" t="s">
        <v>108</v>
      </c>
      <c r="O53" s="405">
        <f t="shared" si="41"/>
        <v>0</v>
      </c>
      <c r="P53" s="405"/>
      <c r="Q53" s="405">
        <f t="shared" si="42"/>
        <v>0</v>
      </c>
      <c r="R53" s="405"/>
      <c r="S53" s="405">
        <f t="shared" si="43"/>
        <v>0</v>
      </c>
      <c r="T53" s="405"/>
      <c r="U53" s="405">
        <f t="shared" si="44"/>
        <v>0</v>
      </c>
      <c r="V53" s="405"/>
      <c r="W53" s="405">
        <f t="shared" si="45"/>
        <v>0</v>
      </c>
      <c r="X53" s="355" t="s">
        <v>108</v>
      </c>
      <c r="Y53" s="405">
        <f t="shared" si="46"/>
        <v>0</v>
      </c>
      <c r="Z53" s="405"/>
      <c r="AA53" s="405">
        <f t="shared" si="47"/>
        <v>0</v>
      </c>
      <c r="AB53" s="355" t="s">
        <v>108</v>
      </c>
      <c r="AC53" s="405">
        <f t="shared" si="48"/>
        <v>0</v>
      </c>
      <c r="AD53" s="405"/>
      <c r="AE53" s="405">
        <f t="shared" si="49"/>
        <v>0</v>
      </c>
      <c r="AF53" s="355" t="s">
        <v>108</v>
      </c>
      <c r="AG53" s="405">
        <f t="shared" si="50"/>
        <v>0</v>
      </c>
      <c r="AH53" s="405"/>
      <c r="AI53" s="405">
        <f t="shared" si="51"/>
        <v>0</v>
      </c>
      <c r="AJ53" s="355" t="s">
        <v>108</v>
      </c>
      <c r="AK53" s="405">
        <f t="shared" si="52"/>
        <v>0</v>
      </c>
      <c r="AL53" s="116"/>
      <c r="AM53" s="116">
        <f t="shared" si="53"/>
        <v>0</v>
      </c>
    </row>
    <row r="54" spans="1:39" s="91" customFormat="1" x14ac:dyDescent="0.25">
      <c r="A54" s="276"/>
      <c r="B54" s="259" t="s">
        <v>85</v>
      </c>
      <c r="C54" s="405">
        <v>2</v>
      </c>
      <c r="D54" s="405"/>
      <c r="E54" s="405">
        <f t="shared" si="36"/>
        <v>0</v>
      </c>
      <c r="F54" s="405"/>
      <c r="G54" s="405">
        <f t="shared" si="37"/>
        <v>0</v>
      </c>
      <c r="H54" s="405"/>
      <c r="I54" s="405">
        <f t="shared" si="38"/>
        <v>0</v>
      </c>
      <c r="J54" s="405"/>
      <c r="K54" s="405">
        <f t="shared" si="39"/>
        <v>0</v>
      </c>
      <c r="L54" s="355" t="s">
        <v>108</v>
      </c>
      <c r="M54" s="405">
        <f t="shared" si="40"/>
        <v>2</v>
      </c>
      <c r="N54" s="405"/>
      <c r="O54" s="405">
        <f t="shared" si="41"/>
        <v>0</v>
      </c>
      <c r="P54" s="405"/>
      <c r="Q54" s="405">
        <f t="shared" si="42"/>
        <v>0</v>
      </c>
      <c r="R54" s="405"/>
      <c r="S54" s="405">
        <f t="shared" si="43"/>
        <v>0</v>
      </c>
      <c r="T54" s="405" t="s">
        <v>108</v>
      </c>
      <c r="U54" s="405">
        <f t="shared" si="44"/>
        <v>2</v>
      </c>
      <c r="V54" s="462" t="s">
        <v>108</v>
      </c>
      <c r="W54" s="405">
        <f t="shared" si="45"/>
        <v>2</v>
      </c>
      <c r="X54" s="405"/>
      <c r="Y54" s="405">
        <f t="shared" si="46"/>
        <v>0</v>
      </c>
      <c r="Z54" s="405"/>
      <c r="AA54" s="405">
        <f t="shared" si="47"/>
        <v>0</v>
      </c>
      <c r="AB54" s="405"/>
      <c r="AC54" s="405">
        <f t="shared" si="48"/>
        <v>0</v>
      </c>
      <c r="AD54" s="405"/>
      <c r="AE54" s="405">
        <f t="shared" si="49"/>
        <v>0</v>
      </c>
      <c r="AF54" s="405"/>
      <c r="AG54" s="405">
        <f t="shared" si="50"/>
        <v>0</v>
      </c>
      <c r="AH54" s="405"/>
      <c r="AI54" s="405">
        <f t="shared" si="51"/>
        <v>0</v>
      </c>
      <c r="AJ54" s="405"/>
      <c r="AK54" s="405">
        <f t="shared" si="52"/>
        <v>0</v>
      </c>
      <c r="AL54" s="116"/>
      <c r="AM54" s="116">
        <f t="shared" si="53"/>
        <v>0</v>
      </c>
    </row>
    <row r="55" spans="1:39" s="91" customFormat="1" ht="13.5" customHeight="1" x14ac:dyDescent="0.25">
      <c r="A55" s="276"/>
      <c r="B55" s="259" t="s">
        <v>86</v>
      </c>
      <c r="C55" s="405">
        <v>1</v>
      </c>
      <c r="D55" s="405"/>
      <c r="E55" s="405">
        <f t="shared" si="36"/>
        <v>0</v>
      </c>
      <c r="F55" s="405"/>
      <c r="G55" s="405">
        <f t="shared" si="37"/>
        <v>0</v>
      </c>
      <c r="H55" s="405" t="s">
        <v>108</v>
      </c>
      <c r="I55" s="405">
        <f t="shared" si="38"/>
        <v>1</v>
      </c>
      <c r="J55" s="405"/>
      <c r="K55" s="405">
        <f t="shared" si="39"/>
        <v>0</v>
      </c>
      <c r="L55" s="405"/>
      <c r="M55" s="405">
        <f t="shared" si="40"/>
        <v>0</v>
      </c>
      <c r="N55" s="355" t="s">
        <v>108</v>
      </c>
      <c r="O55" s="405">
        <f t="shared" si="41"/>
        <v>1</v>
      </c>
      <c r="P55" s="405"/>
      <c r="Q55" s="405">
        <f t="shared" si="42"/>
        <v>0</v>
      </c>
      <c r="R55" s="405"/>
      <c r="S55" s="405">
        <f t="shared" si="43"/>
        <v>0</v>
      </c>
      <c r="T55" s="405"/>
      <c r="U55" s="405">
        <f t="shared" si="44"/>
        <v>0</v>
      </c>
      <c r="V55" s="405"/>
      <c r="W55" s="405">
        <f t="shared" si="45"/>
        <v>0</v>
      </c>
      <c r="X55" s="405"/>
      <c r="Y55" s="405">
        <f t="shared" si="46"/>
        <v>0</v>
      </c>
      <c r="Z55" s="405"/>
      <c r="AA55" s="405">
        <f t="shared" si="47"/>
        <v>0</v>
      </c>
      <c r="AB55" s="355" t="s">
        <v>108</v>
      </c>
      <c r="AC55" s="405">
        <f t="shared" si="48"/>
        <v>1</v>
      </c>
      <c r="AD55" s="355" t="s">
        <v>108</v>
      </c>
      <c r="AE55" s="405">
        <f t="shared" si="49"/>
        <v>1</v>
      </c>
      <c r="AF55" s="355" t="s">
        <v>108</v>
      </c>
      <c r="AG55" s="405">
        <f t="shared" si="50"/>
        <v>1</v>
      </c>
      <c r="AH55" s="405"/>
      <c r="AI55" s="405">
        <f t="shared" si="51"/>
        <v>0</v>
      </c>
      <c r="AJ55" s="405"/>
      <c r="AK55" s="405">
        <f t="shared" si="52"/>
        <v>0</v>
      </c>
      <c r="AL55" s="116"/>
      <c r="AM55" s="116">
        <f t="shared" si="53"/>
        <v>0</v>
      </c>
    </row>
    <row r="56" spans="1:39" x14ac:dyDescent="0.25">
      <c r="A56" s="276"/>
      <c r="B56" s="259" t="s">
        <v>232</v>
      </c>
      <c r="C56" s="405">
        <v>0</v>
      </c>
      <c r="D56" s="405"/>
      <c r="E56" s="405">
        <f t="shared" si="36"/>
        <v>0</v>
      </c>
      <c r="F56" s="405"/>
      <c r="G56" s="405">
        <f t="shared" si="37"/>
        <v>0</v>
      </c>
      <c r="H56" s="405"/>
      <c r="I56" s="405">
        <f t="shared" si="38"/>
        <v>0</v>
      </c>
      <c r="J56" s="434" t="s">
        <v>108</v>
      </c>
      <c r="K56" s="405">
        <f t="shared" si="39"/>
        <v>0</v>
      </c>
      <c r="L56" s="405"/>
      <c r="M56" s="405">
        <f t="shared" si="40"/>
        <v>0</v>
      </c>
      <c r="N56" s="405"/>
      <c r="O56" s="405">
        <f t="shared" si="41"/>
        <v>0</v>
      </c>
      <c r="P56" s="405"/>
      <c r="Q56" s="405">
        <f t="shared" si="42"/>
        <v>0</v>
      </c>
      <c r="R56" s="466" t="s">
        <v>108</v>
      </c>
      <c r="S56" s="405">
        <f t="shared" si="43"/>
        <v>0</v>
      </c>
      <c r="T56" s="405"/>
      <c r="U56" s="405">
        <f t="shared" si="44"/>
        <v>0</v>
      </c>
      <c r="V56" s="405"/>
      <c r="W56" s="405">
        <f t="shared" si="45"/>
        <v>0</v>
      </c>
      <c r="X56" s="355" t="s">
        <v>108</v>
      </c>
      <c r="Y56" s="405">
        <f t="shared" si="46"/>
        <v>0</v>
      </c>
      <c r="Z56" s="405"/>
      <c r="AA56" s="405">
        <f t="shared" si="47"/>
        <v>0</v>
      </c>
      <c r="AB56" s="405"/>
      <c r="AC56" s="405">
        <f t="shared" si="48"/>
        <v>0</v>
      </c>
      <c r="AD56" s="405"/>
      <c r="AE56" s="405">
        <f t="shared" si="49"/>
        <v>0</v>
      </c>
      <c r="AF56" s="405"/>
      <c r="AG56" s="405">
        <f t="shared" si="50"/>
        <v>0</v>
      </c>
      <c r="AH56" s="405"/>
      <c r="AI56" s="405">
        <f t="shared" si="51"/>
        <v>0</v>
      </c>
      <c r="AJ56" s="355" t="s">
        <v>108</v>
      </c>
      <c r="AK56" s="405">
        <f t="shared" si="52"/>
        <v>0</v>
      </c>
      <c r="AL56" s="116"/>
      <c r="AM56" s="116">
        <f t="shared" si="53"/>
        <v>0</v>
      </c>
    </row>
    <row r="57" spans="1:39" x14ac:dyDescent="0.25">
      <c r="A57" s="276"/>
      <c r="B57" s="259" t="s">
        <v>87</v>
      </c>
      <c r="C57" s="405">
        <v>2</v>
      </c>
      <c r="D57" s="405"/>
      <c r="E57" s="405">
        <f t="shared" si="36"/>
        <v>0</v>
      </c>
      <c r="F57" s="405"/>
      <c r="G57" s="405">
        <f t="shared" si="37"/>
        <v>0</v>
      </c>
      <c r="H57" s="405" t="s">
        <v>108</v>
      </c>
      <c r="I57" s="405">
        <f t="shared" si="38"/>
        <v>2</v>
      </c>
      <c r="J57" s="405"/>
      <c r="K57" s="405">
        <f t="shared" si="39"/>
        <v>0</v>
      </c>
      <c r="L57" s="355" t="s">
        <v>108</v>
      </c>
      <c r="M57" s="405">
        <f t="shared" si="40"/>
        <v>2</v>
      </c>
      <c r="N57" s="355" t="s">
        <v>108</v>
      </c>
      <c r="O57" s="405">
        <f t="shared" si="41"/>
        <v>2</v>
      </c>
      <c r="P57" s="405"/>
      <c r="Q57" s="405">
        <f t="shared" si="42"/>
        <v>0</v>
      </c>
      <c r="R57" s="405"/>
      <c r="S57" s="405">
        <f t="shared" si="43"/>
        <v>0</v>
      </c>
      <c r="T57" s="405" t="s">
        <v>108</v>
      </c>
      <c r="U57" s="405">
        <f t="shared" si="44"/>
        <v>2</v>
      </c>
      <c r="V57" s="462" t="s">
        <v>108</v>
      </c>
      <c r="W57" s="405">
        <f t="shared" si="45"/>
        <v>2</v>
      </c>
      <c r="X57" s="405"/>
      <c r="Y57" s="405">
        <f t="shared" si="46"/>
        <v>0</v>
      </c>
      <c r="Z57" s="405"/>
      <c r="AA57" s="405">
        <f t="shared" si="47"/>
        <v>0</v>
      </c>
      <c r="AB57" s="355" t="s">
        <v>108</v>
      </c>
      <c r="AC57" s="405">
        <f t="shared" si="48"/>
        <v>2</v>
      </c>
      <c r="AD57" s="355" t="s">
        <v>108</v>
      </c>
      <c r="AE57" s="405">
        <f t="shared" si="49"/>
        <v>2</v>
      </c>
      <c r="AF57" s="405"/>
      <c r="AG57" s="405">
        <f t="shared" si="50"/>
        <v>0</v>
      </c>
      <c r="AH57" s="405"/>
      <c r="AI57" s="405">
        <f t="shared" si="51"/>
        <v>0</v>
      </c>
      <c r="AJ57" s="405"/>
      <c r="AK57" s="405">
        <f t="shared" si="52"/>
        <v>0</v>
      </c>
      <c r="AL57" s="116"/>
      <c r="AM57" s="116">
        <f t="shared" si="53"/>
        <v>0</v>
      </c>
    </row>
    <row r="58" spans="1:39" s="96" customFormat="1" x14ac:dyDescent="0.25">
      <c r="A58" s="276"/>
      <c r="B58" s="259" t="s">
        <v>88</v>
      </c>
      <c r="C58" s="405">
        <v>1</v>
      </c>
      <c r="D58" s="976"/>
      <c r="E58" s="976" t="str">
        <f>IF(D58&gt;29,"0",IF(D58&gt;14,"1",IF(D58&gt;0,"3",IF(D58=0,"0"))))</f>
        <v>0</v>
      </c>
      <c r="F58" s="976"/>
      <c r="G58" s="976" t="str">
        <f>IF(F58&gt;29,"0",IF(F58&gt;14,"1",IF(F58&gt;0,"3",IF(F58=0,"0"))))</f>
        <v>0</v>
      </c>
      <c r="H58" s="976"/>
      <c r="I58" s="976" t="str">
        <f>IF(H58&gt;29,"0",IF(H58&gt;14,"1",IF(H58&gt;0,"3",IF(H58=0,"0"))))</f>
        <v>0</v>
      </c>
      <c r="J58" s="976">
        <v>32</v>
      </c>
      <c r="K58" s="976" t="str">
        <f>IF(J58&gt;29,"0",IF(J58&gt;14,"1",IF(J58&gt;0,"3",IF(J58=0,"0"))))</f>
        <v>0</v>
      </c>
      <c r="L58" s="976"/>
      <c r="M58" s="976" t="str">
        <f>IF(L58&gt;29,"0",IF(L58&gt;14,"1",IF(L58&gt;0,"3",IF(L58=0,"0"))))</f>
        <v>0</v>
      </c>
      <c r="N58" s="976"/>
      <c r="O58" s="976" t="str">
        <f>IF(N58&gt;29,"0",IF(N58&gt;14,"1",IF(N58&gt;0,"3",IF(N58=0,"0"))))</f>
        <v>0</v>
      </c>
      <c r="P58" s="976"/>
      <c r="Q58" s="976" t="str">
        <f>IF(P58&gt;29,"0",IF(P58&gt;14,"1",IF(P58&gt;0,"3",IF(P58=0,"0"))))</f>
        <v>0</v>
      </c>
      <c r="R58" s="976">
        <v>40</v>
      </c>
      <c r="S58" s="976" t="str">
        <f>IF(R58&gt;29,"0",IF(R58&gt;14,"1",IF(R58&gt;0,"3",IF(R58=0,"0"))))</f>
        <v>0</v>
      </c>
      <c r="T58" s="976"/>
      <c r="U58" s="976" t="str">
        <f>IF(T58&gt;29,"0",IF(T58&gt;14,"1",IF(T58&gt;0,"3",IF(T58=0,"0"))))</f>
        <v>0</v>
      </c>
      <c r="V58" s="976"/>
      <c r="W58" s="976" t="str">
        <f>IF(V58&gt;29,"0",IF(V58&gt;14,"1",IF(V58&gt;0,"3",IF(V58=0,"0"))))</f>
        <v>0</v>
      </c>
      <c r="X58" s="976">
        <v>29.3</v>
      </c>
      <c r="Y58" s="976" t="str">
        <f>IF(X58&gt;29.9,"0",IF(X58&gt;14.9,"1",IF(X58&gt;0,"3",IF(X58=0,"0"))))</f>
        <v>1</v>
      </c>
      <c r="Z58" s="976"/>
      <c r="AA58" s="976" t="str">
        <f>IF(Z58&gt;29,"0",IF(Z58&gt;14,"1",IF(Z58&gt;0,"3",IF(Z58=0,"0"))))</f>
        <v>0</v>
      </c>
      <c r="AB58" s="976"/>
      <c r="AC58" s="976" t="str">
        <f>IF(AB58&gt;29.9,$C60,IF(AB58&gt;14.9,$C59,IF(AB58&gt;0,$C58,IF(AB58=0,"0"))))</f>
        <v>0</v>
      </c>
      <c r="AD58" s="976"/>
      <c r="AE58" s="976" t="str">
        <f>IF(AD58&gt;29.9,$C60,IF(AD58&gt;14.9,$C59,IF(AD58&gt;0,$C58,IF(AD58=0,"0"))))</f>
        <v>0</v>
      </c>
      <c r="AF58" s="976">
        <v>4</v>
      </c>
      <c r="AG58" s="976">
        <f>IF(AF58&gt;29.9,$C60,IF(AF58&gt;14.9,$C59,IF(AF58&gt;0,$C58,IF(AF58=0,"0"))))</f>
        <v>1</v>
      </c>
      <c r="AH58" s="976"/>
      <c r="AI58" s="976" t="str">
        <f>IF(AH58&gt;29,"0",IF(AH58&gt;14,"1",IF(AH58&gt;0,"3",IF(AH58=0,"0"))))</f>
        <v>0</v>
      </c>
      <c r="AJ58" s="976">
        <v>35</v>
      </c>
      <c r="AK58" s="976">
        <f>IF(AJ58&gt;29.9,$C60,IF(AJ58&gt;14.9,$C59,IF(AJ58&gt;0,$C58,IF(AJ58=0,"0"))))</f>
        <v>0</v>
      </c>
      <c r="AL58" s="1029"/>
      <c r="AM58" s="1029" t="str">
        <f>IF(AL58&gt;29,"0",IF(AL58&gt;14,"1",IF(AL58&gt;0,"3",IF(AL58=0,"0"))))</f>
        <v>0</v>
      </c>
    </row>
    <row r="59" spans="1:39" s="96" customFormat="1" x14ac:dyDescent="0.25">
      <c r="A59" s="419"/>
      <c r="B59" s="259" t="s">
        <v>89</v>
      </c>
      <c r="C59" s="183">
        <v>0.5</v>
      </c>
      <c r="D59" s="977"/>
      <c r="E59" s="977"/>
      <c r="F59" s="977"/>
      <c r="G59" s="977"/>
      <c r="H59" s="977"/>
      <c r="I59" s="977"/>
      <c r="J59" s="977"/>
      <c r="K59" s="977"/>
      <c r="L59" s="977"/>
      <c r="M59" s="977"/>
      <c r="N59" s="977"/>
      <c r="O59" s="977"/>
      <c r="P59" s="977"/>
      <c r="Q59" s="977"/>
      <c r="R59" s="977"/>
      <c r="S59" s="977"/>
      <c r="T59" s="977"/>
      <c r="U59" s="977"/>
      <c r="V59" s="977"/>
      <c r="W59" s="977"/>
      <c r="X59" s="977"/>
      <c r="Y59" s="977"/>
      <c r="Z59" s="977"/>
      <c r="AA59" s="977"/>
      <c r="AB59" s="977"/>
      <c r="AC59" s="977"/>
      <c r="AD59" s="977"/>
      <c r="AE59" s="977"/>
      <c r="AF59" s="977"/>
      <c r="AG59" s="977"/>
      <c r="AH59" s="977"/>
      <c r="AI59" s="977"/>
      <c r="AJ59" s="977"/>
      <c r="AK59" s="977"/>
      <c r="AL59" s="1030"/>
      <c r="AM59" s="1030"/>
    </row>
    <row r="60" spans="1:39" s="96" customFormat="1" x14ac:dyDescent="0.25">
      <c r="A60" s="420"/>
      <c r="B60" s="259" t="s">
        <v>90</v>
      </c>
      <c r="C60" s="183">
        <v>0</v>
      </c>
      <c r="D60" s="978"/>
      <c r="E60" s="978"/>
      <c r="F60" s="978"/>
      <c r="G60" s="978"/>
      <c r="H60" s="978"/>
      <c r="I60" s="978"/>
      <c r="J60" s="978"/>
      <c r="K60" s="978"/>
      <c r="L60" s="978"/>
      <c r="M60" s="978"/>
      <c r="N60" s="978"/>
      <c r="O60" s="978"/>
      <c r="P60" s="978"/>
      <c r="Q60" s="978"/>
      <c r="R60" s="978"/>
      <c r="S60" s="978"/>
      <c r="T60" s="978"/>
      <c r="U60" s="978"/>
      <c r="V60" s="978"/>
      <c r="W60" s="978"/>
      <c r="X60" s="978"/>
      <c r="Y60" s="978"/>
      <c r="Z60" s="978"/>
      <c r="AA60" s="978"/>
      <c r="AB60" s="978"/>
      <c r="AC60" s="978"/>
      <c r="AD60" s="978"/>
      <c r="AE60" s="978"/>
      <c r="AF60" s="978"/>
      <c r="AG60" s="978"/>
      <c r="AH60" s="978"/>
      <c r="AI60" s="978"/>
      <c r="AJ60" s="978"/>
      <c r="AK60" s="978"/>
      <c r="AL60" s="1033"/>
      <c r="AM60" s="1033"/>
    </row>
    <row r="61" spans="1:39" s="96" customFormat="1" x14ac:dyDescent="0.25">
      <c r="A61" s="124" t="s">
        <v>655</v>
      </c>
      <c r="B61" s="307" t="s">
        <v>659</v>
      </c>
      <c r="C61" s="433">
        <f>A62</f>
        <v>3</v>
      </c>
      <c r="D61" s="424"/>
      <c r="E61" s="424"/>
      <c r="F61" s="424"/>
      <c r="G61" s="424"/>
      <c r="H61" s="979">
        <v>0</v>
      </c>
      <c r="I61" s="979" t="str">
        <f>IF(H61&gt;10,$C61,IF(H61&gt;5,$C62,IF(H61&gt;0,$C63,IF(H61=0,"0"))))</f>
        <v>0</v>
      </c>
      <c r="J61" s="979">
        <v>0</v>
      </c>
      <c r="K61" s="979" t="str">
        <f>IF(J61&gt;10,$C61,IF(J61&gt;5,$C62,IF(J61&gt;0,$C63,IF(J61=0,"0"))))</f>
        <v>0</v>
      </c>
      <c r="L61" s="979">
        <v>3</v>
      </c>
      <c r="M61" s="979">
        <f>IF(L61&gt;10,$C61,IF(L61&gt;5,$C62,IF(L61&gt;0,$C63,IF(L61=0,"0"))))</f>
        <v>1</v>
      </c>
      <c r="N61" s="979">
        <v>0</v>
      </c>
      <c r="O61" s="979" t="str">
        <f>IF(N61&gt;10,$C61,IF(N61&gt;5,$C62,IF(N61&gt;0,$C63,IF(N61=0,"0"))))</f>
        <v>0</v>
      </c>
      <c r="P61" s="424"/>
      <c r="Q61" s="424"/>
      <c r="R61" s="979">
        <v>0</v>
      </c>
      <c r="S61" s="979" t="str">
        <f>IF(R61&gt;10,$C61,IF(R61&gt;5,$C62,IF(R61&gt;0,$C63,IF(R61=0,"0"))))</f>
        <v>0</v>
      </c>
      <c r="T61" s="979">
        <v>0</v>
      </c>
      <c r="U61" s="979" t="str">
        <f>IF(T61&gt;10,$C61,IF(T61&gt;5,$C62,IF(T61&gt;0,$C63,IF(T61=0,"0"))))</f>
        <v>0</v>
      </c>
      <c r="V61" s="979">
        <v>0</v>
      </c>
      <c r="W61" s="979" t="str">
        <f>IF(V61&gt;10,$C61,IF(V61&gt;5,$C62,IF(V61&gt;0,$C63,IF(V61=0,"0"))))</f>
        <v>0</v>
      </c>
      <c r="X61" s="979">
        <v>0</v>
      </c>
      <c r="Y61" s="979" t="str">
        <f>IF(X61&gt;10,$C61,IF(X61&gt;5,$C62,IF(X61&gt;0,$C63,IF(X61=0,"0"))))</f>
        <v>0</v>
      </c>
      <c r="Z61" s="424"/>
      <c r="AA61" s="424"/>
      <c r="AB61" s="979">
        <v>0</v>
      </c>
      <c r="AC61" s="979" t="str">
        <f>IF(AB61&gt;10,$C61,IF(AB61&gt;5,$C62,IF(AB61&gt;0,$C63,IF(AB61=0,"0"))))</f>
        <v>0</v>
      </c>
      <c r="AD61" s="979">
        <v>5</v>
      </c>
      <c r="AE61" s="979">
        <f>IF(AD61&gt;10,$C61,IF(AD61&gt;5,$C62,IF(AD61&gt;0,$C63,IF(AD61=0,"0"))))</f>
        <v>1</v>
      </c>
      <c r="AF61" s="979">
        <v>0</v>
      </c>
      <c r="AG61" s="979" t="str">
        <f>IF(AF61&gt;10,$C61,IF(AF61&gt;5,$C62,IF(AF61&gt;0,$C63,IF(AF61=0,"0"))))</f>
        <v>0</v>
      </c>
      <c r="AH61" s="424"/>
      <c r="AI61" s="424"/>
      <c r="AJ61" s="979">
        <v>0</v>
      </c>
      <c r="AK61" s="979" t="str">
        <f>IF(AJ61&gt;10,$C61,IF(AJ61&gt;5,$C62,IF(AJ61&gt;0,$C63,IF(AJ61=0,"0"))))</f>
        <v>0</v>
      </c>
      <c r="AL61" s="444"/>
      <c r="AM61" s="444"/>
    </row>
    <row r="62" spans="1:39" s="96" customFormat="1" x14ac:dyDescent="0.25">
      <c r="A62" s="425">
        <v>3</v>
      </c>
      <c r="B62" s="307" t="s">
        <v>658</v>
      </c>
      <c r="C62" s="433">
        <v>2</v>
      </c>
      <c r="D62" s="424"/>
      <c r="E62" s="424"/>
      <c r="F62" s="424"/>
      <c r="G62" s="424"/>
      <c r="H62" s="980"/>
      <c r="I62" s="980"/>
      <c r="J62" s="980"/>
      <c r="K62" s="980"/>
      <c r="L62" s="980"/>
      <c r="M62" s="980"/>
      <c r="N62" s="980"/>
      <c r="O62" s="980"/>
      <c r="P62" s="424"/>
      <c r="Q62" s="424"/>
      <c r="R62" s="980"/>
      <c r="S62" s="980"/>
      <c r="T62" s="980"/>
      <c r="U62" s="980"/>
      <c r="V62" s="980"/>
      <c r="W62" s="980"/>
      <c r="X62" s="980"/>
      <c r="Y62" s="980"/>
      <c r="Z62" s="424"/>
      <c r="AA62" s="424"/>
      <c r="AB62" s="980"/>
      <c r="AC62" s="980"/>
      <c r="AD62" s="980"/>
      <c r="AE62" s="980"/>
      <c r="AF62" s="980"/>
      <c r="AG62" s="980"/>
      <c r="AH62" s="424"/>
      <c r="AI62" s="424"/>
      <c r="AJ62" s="980"/>
      <c r="AK62" s="980"/>
      <c r="AL62" s="444"/>
      <c r="AM62" s="444"/>
    </row>
    <row r="63" spans="1:39" s="96" customFormat="1" x14ac:dyDescent="0.25">
      <c r="A63" s="425"/>
      <c r="B63" s="307" t="s">
        <v>656</v>
      </c>
      <c r="C63" s="433">
        <v>1</v>
      </c>
      <c r="D63" s="424"/>
      <c r="E63" s="424"/>
      <c r="F63" s="424"/>
      <c r="G63" s="424"/>
      <c r="H63" s="980"/>
      <c r="I63" s="980"/>
      <c r="J63" s="980"/>
      <c r="K63" s="980"/>
      <c r="L63" s="980"/>
      <c r="M63" s="980"/>
      <c r="N63" s="980"/>
      <c r="O63" s="980"/>
      <c r="P63" s="424"/>
      <c r="Q63" s="424"/>
      <c r="R63" s="980"/>
      <c r="S63" s="980"/>
      <c r="T63" s="980"/>
      <c r="U63" s="980"/>
      <c r="V63" s="980"/>
      <c r="W63" s="980"/>
      <c r="X63" s="980"/>
      <c r="Y63" s="980"/>
      <c r="Z63" s="424"/>
      <c r="AA63" s="424"/>
      <c r="AB63" s="980"/>
      <c r="AC63" s="980"/>
      <c r="AD63" s="980"/>
      <c r="AE63" s="980"/>
      <c r="AF63" s="980"/>
      <c r="AG63" s="980"/>
      <c r="AH63" s="424"/>
      <c r="AI63" s="424"/>
      <c r="AJ63" s="980"/>
      <c r="AK63" s="980"/>
      <c r="AL63" s="444"/>
      <c r="AM63" s="444"/>
    </row>
    <row r="64" spans="1:39" s="96" customFormat="1" x14ac:dyDescent="0.25">
      <c r="A64" s="426"/>
      <c r="B64" s="307" t="s">
        <v>657</v>
      </c>
      <c r="C64" s="433">
        <v>0</v>
      </c>
      <c r="D64" s="424"/>
      <c r="E64" s="424"/>
      <c r="F64" s="424"/>
      <c r="G64" s="424"/>
      <c r="H64" s="981"/>
      <c r="I64" s="981"/>
      <c r="J64" s="981"/>
      <c r="K64" s="981"/>
      <c r="L64" s="981"/>
      <c r="M64" s="981"/>
      <c r="N64" s="981"/>
      <c r="O64" s="981"/>
      <c r="P64" s="424"/>
      <c r="Q64" s="424"/>
      <c r="R64" s="981"/>
      <c r="S64" s="981"/>
      <c r="T64" s="981"/>
      <c r="U64" s="981"/>
      <c r="V64" s="981"/>
      <c r="W64" s="981"/>
      <c r="X64" s="981"/>
      <c r="Y64" s="981"/>
      <c r="Z64" s="424"/>
      <c r="AA64" s="424"/>
      <c r="AB64" s="981"/>
      <c r="AC64" s="981"/>
      <c r="AD64" s="981"/>
      <c r="AE64" s="981"/>
      <c r="AF64" s="981"/>
      <c r="AG64" s="981"/>
      <c r="AH64" s="424"/>
      <c r="AI64" s="424"/>
      <c r="AJ64" s="981"/>
      <c r="AK64" s="981"/>
      <c r="AL64" s="444"/>
      <c r="AM64" s="444"/>
    </row>
    <row r="65" spans="1:39" s="96" customFormat="1" x14ac:dyDescent="0.25">
      <c r="A65" s="96">
        <f>A4+A7+A13+A15+A17+A19+A21+A24+2+A29+A31+A33+A36+A41+A44+A48+A50+A27+A62</f>
        <v>45</v>
      </c>
      <c r="B65" s="91"/>
      <c r="C65" s="92"/>
      <c r="D65" s="92"/>
      <c r="E65" s="92" t="e">
        <f>#REF!+#REF!+#REF!+#REF!+#REF!+#REF!+#REF!+#REF!+#REF!+#REF!+#REF!+#REF!+#REF!+#REF!+#REF!+#REF!+#REF!+#REF!</f>
        <v>#REF!</v>
      </c>
      <c r="F65" s="92"/>
      <c r="G65" s="92" t="e">
        <f>#REF!+#REF!+#REF!+#REF!+#REF!+#REF!+#REF!+#REF!+#REF!+#REF!+#REF!+#REF!+#REF!+#REF!+#REF!+#REF!+#REF!+#REF!</f>
        <v>#REF!</v>
      </c>
      <c r="H65" s="92"/>
      <c r="I65" s="92">
        <f>SUM(I3:I64)</f>
        <v>26.5</v>
      </c>
      <c r="J65" s="92"/>
      <c r="K65" s="92">
        <f>SUM(K3:K64)</f>
        <v>18.5</v>
      </c>
      <c r="L65" s="92"/>
      <c r="M65" s="92">
        <f>SUM(M3:M64)</f>
        <v>34.5</v>
      </c>
      <c r="N65" s="92"/>
      <c r="O65" s="92">
        <f>SUM(O3:O64)</f>
        <v>31.5</v>
      </c>
      <c r="P65" s="92"/>
      <c r="Q65" s="92" t="e">
        <f>#REF!+#REF!+#REF!+#REF!+#REF!+#REF!+#REF!+#REF!+#REF!+#REF!+#REF!+#REF!+#REF!+#REF!+#REF!+#REF!+#REF!+#REF!</f>
        <v>#REF!</v>
      </c>
      <c r="R65" s="92"/>
      <c r="S65" s="92">
        <f>SUM(S3:S64)</f>
        <v>17</v>
      </c>
      <c r="T65" s="92"/>
      <c r="U65" s="92">
        <f>SUM(U3:U64)</f>
        <v>38.5</v>
      </c>
      <c r="V65" s="92"/>
      <c r="W65" s="92">
        <f>SUM(W3:W64)</f>
        <v>35.5</v>
      </c>
      <c r="X65" s="92"/>
      <c r="Y65" s="92">
        <f>SUM(Y3:Y64)</f>
        <v>25.5</v>
      </c>
      <c r="Z65" s="92"/>
      <c r="AA65" s="92" t="e">
        <f>#REF!+#REF!+#REF!+#REF!+#REF!+#REF!+#REF!+#REF!+#REF!+#REF!+#REF!+#REF!+#REF!+#REF!+#REF!+#REF!+#REF!+#REF!</f>
        <v>#REF!</v>
      </c>
      <c r="AB65" s="92"/>
      <c r="AC65" s="92">
        <f>SUM(AC3:AC64)</f>
        <v>33.5</v>
      </c>
      <c r="AD65" s="92"/>
      <c r="AE65" s="92">
        <f>SUM(AE3:AE64)</f>
        <v>27.5</v>
      </c>
      <c r="AF65" s="92"/>
      <c r="AG65" s="92">
        <f>SUM(AG3:AG64)</f>
        <v>24.5</v>
      </c>
      <c r="AH65" s="92"/>
      <c r="AI65" s="92" t="e">
        <f>#REF!+#REF!+#REF!+#REF!+#REF!+#REF!+#REF!+#REF!+#REF!+#REF!+#REF!+#REF!+#REF!+#REF!+#REF!+#REF!+#REF!+#REF!</f>
        <v>#REF!</v>
      </c>
      <c r="AJ65" s="92"/>
      <c r="AK65" s="92">
        <f>SUM(AK3:AK64)</f>
        <v>20</v>
      </c>
      <c r="AL65" s="92"/>
      <c r="AM65" s="92" t="e">
        <f>#REF!+#REF!+#REF!+#REF!+#REF!+#REF!+#REF!+#REF!+#REF!+#REF!+#REF!+#REF!+#REF!+#REF!+#REF!+#REF!+#REF!+#REF!</f>
        <v>#REF!</v>
      </c>
    </row>
    <row r="66" spans="1:39" s="96" customFormat="1" x14ac:dyDescent="0.25"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</row>
    <row r="67" spans="1:39" s="185" customFormat="1" ht="63" customHeight="1" x14ac:dyDescent="0.25">
      <c r="A67" s="93" t="s">
        <v>5</v>
      </c>
      <c r="B67" s="93" t="s">
        <v>6</v>
      </c>
      <c r="C67" s="74"/>
      <c r="D67" s="1035" t="str">
        <f>Empresas!$A$30</f>
        <v>ALECOP S. COOP.</v>
      </c>
      <c r="E67" s="1036"/>
      <c r="F67" s="1035" t="str">
        <f>Empresas!$A$31</f>
        <v>ANDALUZA DE PAPELERIA (OFIPAPEL)</v>
      </c>
      <c r="G67" s="1036"/>
      <c r="H67" s="1035" t="str">
        <f>Empresas!$A$32</f>
        <v>BALIPE SUMINISTROS E INSTALACIONES</v>
      </c>
      <c r="I67" s="1036"/>
      <c r="J67" s="1035" t="str">
        <f>Empresas!$A$33</f>
        <v>COMERCIAL DE INDUSTRIAS REUNIDAS</v>
      </c>
      <c r="K67" s="1036"/>
      <c r="L67" s="1035" t="str">
        <f>Empresas!$A$34</f>
        <v>EDUARDO BALLESTEROS S.L</v>
      </c>
      <c r="M67" s="1036"/>
      <c r="N67" s="1035" t="str">
        <f>Empresas!$A$35</f>
        <v>EL CORTE INGLÉS</v>
      </c>
      <c r="O67" s="1036"/>
      <c r="P67" s="1035" t="str">
        <f>Empresas!$A$36</f>
        <v>ESQUITINO</v>
      </c>
      <c r="Q67" s="1036"/>
      <c r="R67" s="1035" t="str">
        <f>Empresas!$A$37</f>
        <v>GRUPO KAT</v>
      </c>
      <c r="S67" s="1036"/>
      <c r="T67" s="1035" t="str">
        <f>Empresas!$A$38</f>
        <v>LAUSAN</v>
      </c>
      <c r="U67" s="1036"/>
      <c r="V67" s="1035" t="str">
        <f>Empresas!$A$39</f>
        <v>MELCO</v>
      </c>
      <c r="W67" s="1036"/>
      <c r="X67" s="1035" t="str">
        <f>Empresas!$A$40</f>
        <v>MOFISER S.L</v>
      </c>
      <c r="Y67" s="1036"/>
      <c r="Z67" s="1035" t="str">
        <f>Empresas!$A$41</f>
        <v>MOGAR</v>
      </c>
      <c r="AA67" s="1036"/>
      <c r="AB67" s="1035" t="str">
        <f>Empresas!$A$42</f>
        <v>MUEBLES TINAS</v>
      </c>
      <c r="AC67" s="1036"/>
      <c r="AD67" s="1035" t="str">
        <f>Empresas!$A$43</f>
        <v>OFINET</v>
      </c>
      <c r="AE67" s="1036"/>
      <c r="AF67" s="1035" t="str">
        <f>Empresas!$A$44</f>
        <v>OFITA INTERIORES (JOCAFRI)</v>
      </c>
      <c r="AG67" s="1036"/>
      <c r="AH67" s="1035" t="str">
        <f>Empresas!$A$45</f>
        <v>PAPELERÍA COLÓN</v>
      </c>
      <c r="AI67" s="1036"/>
      <c r="AJ67" s="1035" t="str">
        <f>Empresas!$A$46</f>
        <v>RUIZ COLLADO</v>
      </c>
      <c r="AK67" s="1036"/>
      <c r="AL67" s="1035" t="str">
        <f>Empresas!$A$47</f>
        <v>SERVITEC</v>
      </c>
      <c r="AM67" s="1036"/>
    </row>
    <row r="68" spans="1:39" s="96" customFormat="1" x14ac:dyDescent="0.25">
      <c r="A68" s="416" t="s">
        <v>247</v>
      </c>
      <c r="B68" s="186" t="s">
        <v>248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</row>
    <row r="69" spans="1:39" s="96" customFormat="1" x14ac:dyDescent="0.25">
      <c r="A69" s="120" t="s">
        <v>193</v>
      </c>
      <c r="B69" s="119" t="s">
        <v>195</v>
      </c>
      <c r="C69" s="23">
        <f>A70</f>
        <v>3</v>
      </c>
      <c r="D69" s="23"/>
      <c r="E69" s="23">
        <f>IF(D69="S",$C69,0)</f>
        <v>0</v>
      </c>
      <c r="F69" s="116"/>
      <c r="G69" s="116">
        <f>IF(F69="S",$C69,0)</f>
        <v>0</v>
      </c>
      <c r="H69" s="116"/>
      <c r="I69" s="116">
        <f>IF(H69="S",$C69,0)</f>
        <v>0</v>
      </c>
      <c r="J69" s="116"/>
      <c r="K69" s="116">
        <f>IF(J69="S",$C69,0)</f>
        <v>0</v>
      </c>
      <c r="L69" s="116"/>
      <c r="M69" s="116">
        <f>IF(L69="S",$C69,0)</f>
        <v>0</v>
      </c>
      <c r="N69" s="116"/>
      <c r="O69" s="116">
        <f>IF(N69="S",$C69,0)</f>
        <v>0</v>
      </c>
      <c r="P69" s="116"/>
      <c r="Q69" s="116">
        <f>IF(P69="S",$C69,0)</f>
        <v>0</v>
      </c>
      <c r="R69" s="86"/>
      <c r="S69" s="23">
        <f>IF(R69="S",$C69,0)</f>
        <v>0</v>
      </c>
      <c r="T69" s="116"/>
      <c r="U69" s="116">
        <f>IF(T69="S",$C69,0)</f>
        <v>0</v>
      </c>
      <c r="V69" s="116"/>
      <c r="W69" s="116">
        <f>IF(V69="S",$C69,0)</f>
        <v>0</v>
      </c>
      <c r="X69" s="116"/>
      <c r="Y69" s="116">
        <f>IF(X69="S",$C69,0)</f>
        <v>0</v>
      </c>
      <c r="Z69" s="116"/>
      <c r="AA69" s="116">
        <f>IF(Z69="S",$C69,0)</f>
        <v>0</v>
      </c>
      <c r="AB69" s="116"/>
      <c r="AC69" s="116">
        <f>IF(AB69="S",$C69,0)</f>
        <v>0</v>
      </c>
      <c r="AD69" s="116"/>
      <c r="AE69" s="116">
        <f>IF(AD69="S",$C69,0)</f>
        <v>0</v>
      </c>
      <c r="AF69" s="116"/>
      <c r="AG69" s="116">
        <f>IF(AF69="S",$C69,0)</f>
        <v>0</v>
      </c>
      <c r="AH69" s="86"/>
      <c r="AI69" s="116">
        <f>IF(AH69="S",$C69,0)</f>
        <v>0</v>
      </c>
      <c r="AJ69" s="116"/>
      <c r="AK69" s="116">
        <f>IF(AJ69="S",$C69,0)</f>
        <v>0</v>
      </c>
      <c r="AL69" s="86"/>
      <c r="AM69" s="116">
        <f>IF(AL69="S",$C69,0)</f>
        <v>0</v>
      </c>
    </row>
    <row r="70" spans="1:39" s="96" customFormat="1" x14ac:dyDescent="0.25">
      <c r="A70" s="399">
        <v>3</v>
      </c>
      <c r="B70" s="67" t="s">
        <v>95</v>
      </c>
      <c r="C70" s="23">
        <v>1</v>
      </c>
      <c r="D70" s="23"/>
      <c r="E70" s="23">
        <f>IF(D70="S",$C70,0)</f>
        <v>0</v>
      </c>
      <c r="F70" s="116"/>
      <c r="G70" s="116">
        <f>IF(F70="S",$C70,0)</f>
        <v>0</v>
      </c>
      <c r="H70" s="403" t="s">
        <v>108</v>
      </c>
      <c r="I70" s="116">
        <f>IF(H70="S",$C70,0)</f>
        <v>1</v>
      </c>
      <c r="J70" s="430" t="s">
        <v>108</v>
      </c>
      <c r="K70" s="116">
        <f>IF(J70="S",$C70,0)</f>
        <v>1</v>
      </c>
      <c r="L70" s="430" t="s">
        <v>108</v>
      </c>
      <c r="M70" s="116">
        <f>IF(L70="S",$C70,0)</f>
        <v>1</v>
      </c>
      <c r="N70" s="431" t="s">
        <v>666</v>
      </c>
      <c r="O70" s="116">
        <f>IF(N70="S",$C70,0)</f>
        <v>1</v>
      </c>
      <c r="P70" s="116"/>
      <c r="Q70" s="116">
        <f>IF(P70="S",$C70,0)</f>
        <v>0</v>
      </c>
      <c r="R70" s="86" t="s">
        <v>108</v>
      </c>
      <c r="S70" s="23">
        <f>IF(R70="S",$C70,0)</f>
        <v>1</v>
      </c>
      <c r="T70" s="431" t="s">
        <v>108</v>
      </c>
      <c r="U70" s="116">
        <f>IF(T70="S",$C70,0)</f>
        <v>1</v>
      </c>
      <c r="V70" s="460" t="s">
        <v>108</v>
      </c>
      <c r="W70" s="116">
        <f>IF(V70="S",$C70,0)</f>
        <v>1</v>
      </c>
      <c r="X70" s="410" t="s">
        <v>108</v>
      </c>
      <c r="Y70" s="116">
        <f>IF(X70="S",$C70,0)</f>
        <v>1</v>
      </c>
      <c r="Z70" s="116"/>
      <c r="AA70" s="116">
        <f>IF(Z70="S",$C70,0)</f>
        <v>0</v>
      </c>
      <c r="AB70" s="431" t="s">
        <v>666</v>
      </c>
      <c r="AC70" s="116">
        <f>IF(AB70="S",$C70,0)</f>
        <v>1</v>
      </c>
      <c r="AD70" s="464" t="s">
        <v>108</v>
      </c>
      <c r="AE70" s="116">
        <f>IF(AD70="S",$C70,0)</f>
        <v>1</v>
      </c>
      <c r="AF70" s="468" t="s">
        <v>108</v>
      </c>
      <c r="AG70" s="116">
        <f>IF(AF70="S",$C70,0)</f>
        <v>1</v>
      </c>
      <c r="AH70" s="86"/>
      <c r="AI70" s="116">
        <f>IF(AH70="S",$C70,0)</f>
        <v>0</v>
      </c>
      <c r="AJ70" s="460" t="s">
        <v>108</v>
      </c>
      <c r="AK70" s="116">
        <f>IF(AJ70="S",$C70,0)</f>
        <v>1</v>
      </c>
      <c r="AL70" s="86"/>
      <c r="AM70" s="116">
        <f>IF(AL70="S",$C70,0)</f>
        <v>0</v>
      </c>
    </row>
    <row r="71" spans="1:39" s="96" customFormat="1" x14ac:dyDescent="0.25">
      <c r="A71" s="400"/>
      <c r="B71" s="67" t="s">
        <v>196</v>
      </c>
      <c r="C71" s="23">
        <v>0</v>
      </c>
      <c r="D71" s="23"/>
      <c r="E71" s="23">
        <f>IF(D71="S",$C71,0)</f>
        <v>0</v>
      </c>
      <c r="F71" s="116"/>
      <c r="G71" s="116">
        <f>IF(F71="S",$C71,0)</f>
        <v>0</v>
      </c>
      <c r="H71" s="116"/>
      <c r="I71" s="116">
        <f>IF(H71="S",$C71,0)</f>
        <v>0</v>
      </c>
      <c r="J71" s="116"/>
      <c r="K71" s="116">
        <f>IF(J71="S",$C71,0)</f>
        <v>0</v>
      </c>
      <c r="L71" s="116"/>
      <c r="M71" s="116">
        <f>IF(L71="S",$C71,0)</f>
        <v>0</v>
      </c>
      <c r="N71" s="116"/>
      <c r="O71" s="116">
        <f>IF(N71="S",$C71,0)</f>
        <v>0</v>
      </c>
      <c r="P71" s="116"/>
      <c r="Q71" s="116">
        <f>IF(P71="S",$C71,0)</f>
        <v>0</v>
      </c>
      <c r="R71" s="86"/>
      <c r="S71" s="23">
        <f>IF(R71="S",$C71,0)</f>
        <v>0</v>
      </c>
      <c r="T71" s="116"/>
      <c r="U71" s="116">
        <f>IF(T71="S",$C71,0)</f>
        <v>0</v>
      </c>
      <c r="V71" s="116"/>
      <c r="W71" s="116">
        <f>IF(V71="S",$C71,0)</f>
        <v>0</v>
      </c>
      <c r="X71" s="116"/>
      <c r="Y71" s="116">
        <f>IF(X71="S",$C71,0)</f>
        <v>0</v>
      </c>
      <c r="Z71" s="116"/>
      <c r="AA71" s="116">
        <f>IF(Z71="S",$C71,0)</f>
        <v>0</v>
      </c>
      <c r="AB71" s="116"/>
      <c r="AC71" s="116">
        <f>IF(AB71="S",$C71,0)</f>
        <v>0</v>
      </c>
      <c r="AD71" s="116"/>
      <c r="AE71" s="116">
        <f>IF(AD71="S",$C71,0)</f>
        <v>0</v>
      </c>
      <c r="AF71" s="116"/>
      <c r="AG71" s="116">
        <f>IF(AF71="S",$C71,0)</f>
        <v>0</v>
      </c>
      <c r="AH71" s="86"/>
      <c r="AI71" s="116">
        <f>IF(AH71="S",$C71,0)</f>
        <v>0</v>
      </c>
      <c r="AJ71" s="116"/>
      <c r="AK71" s="116">
        <f>IF(AJ71="S",$C71,0)</f>
        <v>0</v>
      </c>
      <c r="AL71" s="86"/>
      <c r="AM71" s="116">
        <f>IF(AL71="S",$C71,0)</f>
        <v>0</v>
      </c>
    </row>
    <row r="72" spans="1:39" s="96" customFormat="1" x14ac:dyDescent="0.25">
      <c r="A72" s="123" t="s">
        <v>211</v>
      </c>
      <c r="B72" s="110" t="s">
        <v>213</v>
      </c>
      <c r="C72" s="76">
        <f>A73</f>
        <v>4</v>
      </c>
      <c r="D72" s="979"/>
      <c r="E72" s="979" t="str">
        <f>IF(D72&gt;2.9,$C72,IF(D72&gt;1.4,$C73,IF(D72&gt;0,$C74,IF(D72=0,"0"))))</f>
        <v>0</v>
      </c>
      <c r="F72" s="979"/>
      <c r="G72" s="979" t="str">
        <f>IF(F72&gt;2.9,$C72,IF(F72&gt;1.4,$C73,IF(F72&gt;0,$C74,IF(F72=0,"0"))))</f>
        <v>0</v>
      </c>
      <c r="H72" s="979">
        <v>1.5</v>
      </c>
      <c r="I72" s="979">
        <f>IF(H72&gt;2.9,$C72,IF(H72&gt;1.9,$C73,IF(H72&gt;0,$C74,IF(H72=0,"0"))))</f>
        <v>1</v>
      </c>
      <c r="J72" s="979">
        <v>1.5</v>
      </c>
      <c r="K72" s="979">
        <f>IF(J72&gt;2.9,$C72,IF(J72&gt;1.9,$C73,IF(J72&gt;0,$C74,IF(J72=0,"0"))))</f>
        <v>1</v>
      </c>
      <c r="L72" s="979">
        <v>1.8</v>
      </c>
      <c r="M72" s="979">
        <f>IF(L72&gt;2.9,$C72,IF(L72&gt;1.9,$C73,IF(L72&gt;0,$C74,IF(L72=0,"0"))))</f>
        <v>1</v>
      </c>
      <c r="N72" s="979">
        <v>1.8</v>
      </c>
      <c r="O72" s="979">
        <f>IF(N72&gt;2.9,$C72,IF(N72&gt;1.9,$C73,IF(N72&gt;0,$C74,IF(N72=0,"0"))))</f>
        <v>1</v>
      </c>
      <c r="P72" s="979"/>
      <c r="Q72" s="979" t="str">
        <f>IF(P72&gt;2.9,$C72,IF(P72&gt;1.4,$C73,IF(P72&gt;0,$C74,IF(P72=0,"0"))))</f>
        <v>0</v>
      </c>
      <c r="R72" s="979">
        <v>1.6</v>
      </c>
      <c r="S72" s="979">
        <f>IF(R72&gt;2.9,$C72,IF(R72&gt;1.9,$C73,IF(R72&gt;0,$C74,IF(R72=0,"0"))))</f>
        <v>1</v>
      </c>
      <c r="T72" s="979">
        <v>2.5</v>
      </c>
      <c r="U72" s="979">
        <f>IF(T72&gt;2.9,$C72,IF(T72&gt;1.9,$C73,IF(T72&gt;0,$C74,IF(T72=0,"0"))))</f>
        <v>2</v>
      </c>
      <c r="V72" s="979">
        <v>2</v>
      </c>
      <c r="W72" s="979">
        <f>IF(V72&gt;2.9,$C72,IF(V72&gt;1.9,$C73,IF(V72&gt;0,$C74,IF(V72=0,"0"))))</f>
        <v>2</v>
      </c>
      <c r="X72" s="979">
        <v>3</v>
      </c>
      <c r="Y72" s="979">
        <f>IF(X72&gt;2.9,$C72,IF(X72&gt;1.9,$C73,IF(X72&gt;0,$C74,IF(X72=0,"0"))))</f>
        <v>4</v>
      </c>
      <c r="Z72" s="979"/>
      <c r="AA72" s="979" t="str">
        <f>IF(Z72&gt;2.9,$C72,IF(Z72&gt;1.4,$C73,IF(Z72&gt;0,$C74,IF(Z72=0,"0"))))</f>
        <v>0</v>
      </c>
      <c r="AB72" s="979">
        <v>3</v>
      </c>
      <c r="AC72" s="979">
        <f>IF(AB72&gt;2.9,$C72,IF(AB72&gt;1.9,$C73,IF(AB72&gt;0,$C74,IF(AB72=0,"0"))))</f>
        <v>4</v>
      </c>
      <c r="AD72" s="979">
        <v>3</v>
      </c>
      <c r="AE72" s="979">
        <f>IF(AD72&gt;2.9,$C72,IF(AD72&gt;1.9,$C73,IF(AD72&gt;0,$C74,IF(AD72=0,"0"))))</f>
        <v>4</v>
      </c>
      <c r="AF72" s="979">
        <v>2.5</v>
      </c>
      <c r="AG72" s="979">
        <f>IF(AF72&gt;2.9,$C72,IF(AF72&gt;1.9,$C73,IF(AF72&gt;0,$C74,IF(AF72=0,"0"))))</f>
        <v>2</v>
      </c>
      <c r="AH72" s="979"/>
      <c r="AI72" s="979" t="str">
        <f>IF(AH72&gt;2.9,$C72,IF(AH72&gt;1.4,$C73,IF(AH72&gt;0,$C74,IF(AH72=0,"0"))))</f>
        <v>0</v>
      </c>
      <c r="AJ72" s="979">
        <v>2</v>
      </c>
      <c r="AK72" s="979">
        <f>IF(AJ72&gt;2.9,$C72,IF(AJ72&gt;1.9,$C73,IF(AJ72&gt;0,$C74,IF(AJ72=0,"0"))))</f>
        <v>2</v>
      </c>
      <c r="AL72" s="979"/>
      <c r="AM72" s="979" t="str">
        <f>IF(AL72&gt;2.9,$C72,IF(AL72&gt;1.4,$C73,IF(AL72&gt;0,$C74,IF(AL72=0,"0"))))</f>
        <v>0</v>
      </c>
    </row>
    <row r="73" spans="1:39" s="96" customFormat="1" x14ac:dyDescent="0.25">
      <c r="A73" s="69">
        <v>4</v>
      </c>
      <c r="B73" s="266" t="s">
        <v>672</v>
      </c>
      <c r="C73" s="76">
        <v>2</v>
      </c>
      <c r="D73" s="980"/>
      <c r="E73" s="980"/>
      <c r="F73" s="980"/>
      <c r="G73" s="980"/>
      <c r="H73" s="980"/>
      <c r="I73" s="980"/>
      <c r="J73" s="980"/>
      <c r="K73" s="980"/>
      <c r="L73" s="980"/>
      <c r="M73" s="980"/>
      <c r="N73" s="980"/>
      <c r="O73" s="980"/>
      <c r="P73" s="980"/>
      <c r="Q73" s="980"/>
      <c r="R73" s="980"/>
      <c r="S73" s="980"/>
      <c r="T73" s="980"/>
      <c r="U73" s="980"/>
      <c r="V73" s="980"/>
      <c r="W73" s="980"/>
      <c r="X73" s="980"/>
      <c r="Y73" s="980"/>
      <c r="Z73" s="980"/>
      <c r="AA73" s="980"/>
      <c r="AB73" s="980"/>
      <c r="AC73" s="980"/>
      <c r="AD73" s="980"/>
      <c r="AE73" s="980"/>
      <c r="AF73" s="980"/>
      <c r="AG73" s="980"/>
      <c r="AH73" s="980"/>
      <c r="AI73" s="980"/>
      <c r="AJ73" s="980"/>
      <c r="AK73" s="980"/>
      <c r="AL73" s="980"/>
      <c r="AM73" s="980"/>
    </row>
    <row r="74" spans="1:39" s="96" customFormat="1" x14ac:dyDescent="0.25">
      <c r="A74" s="70"/>
      <c r="B74" s="266" t="s">
        <v>671</v>
      </c>
      <c r="C74" s="76">
        <v>1</v>
      </c>
      <c r="D74" s="981"/>
      <c r="E74" s="981"/>
      <c r="F74" s="981"/>
      <c r="G74" s="981"/>
      <c r="H74" s="981"/>
      <c r="I74" s="981"/>
      <c r="J74" s="981"/>
      <c r="K74" s="981"/>
      <c r="L74" s="981"/>
      <c r="M74" s="981"/>
      <c r="N74" s="981"/>
      <c r="O74" s="981"/>
      <c r="P74" s="981"/>
      <c r="Q74" s="981"/>
      <c r="R74" s="981"/>
      <c r="S74" s="981"/>
      <c r="T74" s="981"/>
      <c r="U74" s="981"/>
      <c r="V74" s="981"/>
      <c r="W74" s="981"/>
      <c r="X74" s="981"/>
      <c r="Y74" s="981"/>
      <c r="Z74" s="981"/>
      <c r="AA74" s="981"/>
      <c r="AB74" s="981"/>
      <c r="AC74" s="981"/>
      <c r="AD74" s="981"/>
      <c r="AE74" s="981"/>
      <c r="AF74" s="981"/>
      <c r="AG74" s="981"/>
      <c r="AH74" s="981"/>
      <c r="AI74" s="981"/>
      <c r="AJ74" s="981"/>
      <c r="AK74" s="981"/>
      <c r="AL74" s="981"/>
      <c r="AM74" s="981"/>
    </row>
    <row r="75" spans="1:39" s="96" customFormat="1" x14ac:dyDescent="0.25">
      <c r="A75" s="120" t="s">
        <v>194</v>
      </c>
      <c r="B75" s="119" t="s">
        <v>195</v>
      </c>
      <c r="C75" s="23">
        <f>A76</f>
        <v>3</v>
      </c>
      <c r="D75" s="23"/>
      <c r="E75" s="23">
        <f>IF(D75="S",$C75,0)</f>
        <v>0</v>
      </c>
      <c r="F75" s="116"/>
      <c r="G75" s="116">
        <f>IF(F75="S",$C75,0)</f>
        <v>0</v>
      </c>
      <c r="H75" s="116"/>
      <c r="I75" s="116">
        <f>IF(H75="S",$C75,0)</f>
        <v>0</v>
      </c>
      <c r="J75" s="116"/>
      <c r="K75" s="116">
        <f>IF(J75="S",$C75,0)</f>
        <v>0</v>
      </c>
      <c r="L75" s="116"/>
      <c r="M75" s="116">
        <f>IF(L75="S",$C75,0)</f>
        <v>0</v>
      </c>
      <c r="N75" s="116"/>
      <c r="O75" s="116">
        <f>IF(N75="S",$C75,0)</f>
        <v>0</v>
      </c>
      <c r="P75" s="116"/>
      <c r="Q75" s="116">
        <f>IF(P75="S",$C75,0)</f>
        <v>0</v>
      </c>
      <c r="R75" s="86"/>
      <c r="S75" s="23">
        <f>IF(R75="S",$C75,0)</f>
        <v>0</v>
      </c>
      <c r="T75" s="116"/>
      <c r="U75" s="116">
        <f>IF(T75="S",$C75,0)</f>
        <v>0</v>
      </c>
      <c r="V75" s="116"/>
      <c r="W75" s="116">
        <f>IF(V75="S",$C75,0)</f>
        <v>0</v>
      </c>
      <c r="X75" s="468" t="s">
        <v>108</v>
      </c>
      <c r="Y75" s="116">
        <f>IF(X75="S",$C75,0)</f>
        <v>3</v>
      </c>
      <c r="Z75" s="116"/>
      <c r="AA75" s="116">
        <f>IF(Z75="S",$C75,0)</f>
        <v>0</v>
      </c>
      <c r="AB75" s="116"/>
      <c r="AC75" s="116">
        <f>IF(AB75="S",$C75,0)</f>
        <v>0</v>
      </c>
      <c r="AD75" s="116"/>
      <c r="AE75" s="116">
        <f>IF(AD75="S",$C75,0)</f>
        <v>0</v>
      </c>
      <c r="AF75" s="116"/>
      <c r="AG75" s="116">
        <f>IF(AF75="S",$C75,0)</f>
        <v>0</v>
      </c>
      <c r="AH75" s="86"/>
      <c r="AI75" s="116">
        <f>IF(AH75="S",$C75,0)</f>
        <v>0</v>
      </c>
      <c r="AJ75" s="116"/>
      <c r="AK75" s="116">
        <f>IF(AJ75="S",$C75,0)</f>
        <v>0</v>
      </c>
      <c r="AL75" s="86"/>
      <c r="AM75" s="116">
        <f>IF(AL75="S",$C75,0)</f>
        <v>0</v>
      </c>
    </row>
    <row r="76" spans="1:39" s="96" customFormat="1" x14ac:dyDescent="0.25">
      <c r="A76" s="399">
        <v>3</v>
      </c>
      <c r="B76" s="119" t="s">
        <v>95</v>
      </c>
      <c r="C76" s="23">
        <v>1</v>
      </c>
      <c r="D76" s="23"/>
      <c r="E76" s="23">
        <f>IF(D76="S",$C76,0)</f>
        <v>0</v>
      </c>
      <c r="F76" s="116"/>
      <c r="G76" s="116">
        <f>IF(F76="S",$C76,0)</f>
        <v>0</v>
      </c>
      <c r="H76" s="403" t="s">
        <v>108</v>
      </c>
      <c r="I76" s="116">
        <f>IF(H76="S",$C76,0)</f>
        <v>1</v>
      </c>
      <c r="J76" s="430" t="s">
        <v>108</v>
      </c>
      <c r="K76" s="116">
        <f>IF(J76="S",$C76,0)</f>
        <v>1</v>
      </c>
      <c r="L76" s="430" t="s">
        <v>108</v>
      </c>
      <c r="M76" s="116">
        <f>IF(L76="S",$C76,0)</f>
        <v>1</v>
      </c>
      <c r="N76" s="450" t="s">
        <v>108</v>
      </c>
      <c r="O76" s="116">
        <f>IF(N76="S",$C76,0)</f>
        <v>1</v>
      </c>
      <c r="P76" s="116"/>
      <c r="Q76" s="116">
        <f>IF(P76="S",$C76,0)</f>
        <v>0</v>
      </c>
      <c r="R76" s="86" t="s">
        <v>108</v>
      </c>
      <c r="S76" s="23">
        <f>IF(R76="S",$C76,0)</f>
        <v>1</v>
      </c>
      <c r="T76" s="431" t="s">
        <v>108</v>
      </c>
      <c r="U76" s="116">
        <f>IF(T76="S",$C76,0)</f>
        <v>1</v>
      </c>
      <c r="V76" s="460" t="s">
        <v>108</v>
      </c>
      <c r="W76" s="116">
        <f>IF(V76="S",$C76,0)</f>
        <v>1</v>
      </c>
      <c r="X76" s="116"/>
      <c r="Y76" s="116">
        <f>IF(X76="S",$C76,0)</f>
        <v>0</v>
      </c>
      <c r="Z76" s="116"/>
      <c r="AA76" s="116">
        <f>IF(Z76="S",$C76,0)</f>
        <v>0</v>
      </c>
      <c r="AB76" s="450" t="s">
        <v>108</v>
      </c>
      <c r="AC76" s="116">
        <f>IF(AB76="S",$C76,0)</f>
        <v>1</v>
      </c>
      <c r="AD76" s="464" t="s">
        <v>108</v>
      </c>
      <c r="AE76" s="116">
        <f>IF(AD76="S",$C76,0)</f>
        <v>1</v>
      </c>
      <c r="AF76" s="469" t="s">
        <v>108</v>
      </c>
      <c r="AG76" s="116">
        <f>IF(AF76="S",$C76,0)</f>
        <v>1</v>
      </c>
      <c r="AH76" s="86"/>
      <c r="AI76" s="116">
        <f>IF(AH76="S",$C76,0)</f>
        <v>0</v>
      </c>
      <c r="AJ76" s="460" t="s">
        <v>108</v>
      </c>
      <c r="AK76" s="116">
        <f>IF(AJ76="S",$C76,0)</f>
        <v>1</v>
      </c>
      <c r="AL76" s="86"/>
      <c r="AM76" s="116">
        <f>IF(AL76="S",$C76,0)</f>
        <v>0</v>
      </c>
    </row>
    <row r="77" spans="1:39" s="96" customFormat="1" x14ac:dyDescent="0.25">
      <c r="A77" s="400"/>
      <c r="B77" s="119" t="s">
        <v>196</v>
      </c>
      <c r="C77" s="23">
        <v>0</v>
      </c>
      <c r="D77" s="23"/>
      <c r="E77" s="23">
        <f>IF(D77="S",$C77,0)</f>
        <v>0</v>
      </c>
      <c r="F77" s="116"/>
      <c r="G77" s="116">
        <f>IF(F77="S",$C77,0)</f>
        <v>0</v>
      </c>
      <c r="H77" s="116"/>
      <c r="I77" s="116">
        <f>IF(H77="S",$C77,0)</f>
        <v>0</v>
      </c>
      <c r="J77" s="116"/>
      <c r="K77" s="116">
        <f>IF(J77="S",$C77,0)</f>
        <v>0</v>
      </c>
      <c r="L77" s="116"/>
      <c r="M77" s="116">
        <f>IF(L77="S",$C77,0)</f>
        <v>0</v>
      </c>
      <c r="N77" s="116"/>
      <c r="O77" s="116">
        <f>IF(N77="S",$C77,0)</f>
        <v>0</v>
      </c>
      <c r="P77" s="116"/>
      <c r="Q77" s="116">
        <f>IF(P77="S",$C77,0)</f>
        <v>0</v>
      </c>
      <c r="R77" s="86"/>
      <c r="S77" s="23">
        <f>IF(R77="S",$C77,0)</f>
        <v>0</v>
      </c>
      <c r="T77" s="116"/>
      <c r="U77" s="116">
        <f>IF(T77="S",$C77,0)</f>
        <v>0</v>
      </c>
      <c r="V77" s="116"/>
      <c r="W77" s="116">
        <f>IF(V77="S",$C77,0)</f>
        <v>0</v>
      </c>
      <c r="X77" s="116"/>
      <c r="Y77" s="116">
        <f>IF(X77="S",$C77,0)</f>
        <v>0</v>
      </c>
      <c r="Z77" s="116"/>
      <c r="AA77" s="116">
        <f>IF(Z77="S",$C77,0)</f>
        <v>0</v>
      </c>
      <c r="AB77" s="116"/>
      <c r="AC77" s="116">
        <f>IF(AB77="S",$C77,0)</f>
        <v>0</v>
      </c>
      <c r="AD77" s="116"/>
      <c r="AE77" s="116">
        <f>IF(AD77="S",$C77,0)</f>
        <v>0</v>
      </c>
      <c r="AF77" s="116"/>
      <c r="AG77" s="116">
        <f>IF(AF77="S",$C77,0)</f>
        <v>0</v>
      </c>
      <c r="AH77" s="86"/>
      <c r="AI77" s="116">
        <f>IF(AH77="S",$C77,0)</f>
        <v>0</v>
      </c>
      <c r="AJ77" s="116"/>
      <c r="AK77" s="116">
        <f>IF(AJ77="S",$C77,0)</f>
        <v>0</v>
      </c>
      <c r="AL77" s="86"/>
      <c r="AM77" s="116">
        <f>IF(AL77="S",$C77,0)</f>
        <v>0</v>
      </c>
    </row>
    <row r="78" spans="1:39" s="96" customFormat="1" x14ac:dyDescent="0.25">
      <c r="A78" s="123" t="s">
        <v>215</v>
      </c>
      <c r="B78" s="110" t="s">
        <v>213</v>
      </c>
      <c r="C78" s="76">
        <v>4</v>
      </c>
      <c r="D78" s="979"/>
      <c r="E78" s="979" t="str">
        <f>IF(D78&gt;2.9,$C78,IF(D78&gt;1.4,$C79,IF(D78&gt;0,$C80,IF(D78=0,"0"))))</f>
        <v>0</v>
      </c>
      <c r="F78" s="979"/>
      <c r="G78" s="979" t="str">
        <f>IF(F78&gt;2.9,$C78,IF(F78&gt;1.4,$C79,IF(F78&gt;0,$C80,IF(F78=0,"0"))))</f>
        <v>0</v>
      </c>
      <c r="H78" s="979">
        <v>2.8</v>
      </c>
      <c r="I78" s="979">
        <f>IF(H78&gt;2.9,$C78,IF(H78&gt;1.9,$C79,IF(H78&gt;0,$C80,IF(H78=0,"0"))))</f>
        <v>2</v>
      </c>
      <c r="J78" s="979">
        <v>1.5</v>
      </c>
      <c r="K78" s="979">
        <f>IF(J78&gt;2.9,$C78,IF(J78&gt;1.9,$C79,IF(J78&gt;0,$C80,IF(J78=0,"0"))))</f>
        <v>1</v>
      </c>
      <c r="L78" s="979">
        <v>1.8</v>
      </c>
      <c r="M78" s="979">
        <f>IF(L78&gt;2.9,$C78,IF(L78&gt;1.4,$C79,IF(L78&gt;0,$C80,IF(L78=0,"0"))))</f>
        <v>2</v>
      </c>
      <c r="N78" s="979">
        <v>2</v>
      </c>
      <c r="O78" s="979">
        <f>IF(N78&gt;2.9,$C78,IF(N78&gt;1.4,$C79,IF(N78&gt;0,$C80,IF(N78=0,"0"))))</f>
        <v>2</v>
      </c>
      <c r="P78" s="979"/>
      <c r="Q78" s="979" t="str">
        <f>IF(P78&gt;2.9,$C78,IF(P78&gt;1.4,$C79,IF(P78&gt;0,$C80,IF(P78=0,"0"))))</f>
        <v>0</v>
      </c>
      <c r="R78" s="979">
        <v>1.6</v>
      </c>
      <c r="S78" s="979">
        <f>IF(R78&gt;2.9,$C78,IF(R78&gt;1.9,$C79,IF(R78&gt;0,$C80,IF(R78=0,"0"))))</f>
        <v>1</v>
      </c>
      <c r="T78" s="979">
        <v>2.5</v>
      </c>
      <c r="U78" s="979">
        <f>IF(T78&gt;2.9,$C78,IF(T78&gt;1.9,$C79,IF(T78&gt;0,$C80,IF(T78=0,"0"))))</f>
        <v>2</v>
      </c>
      <c r="V78" s="979">
        <v>2.5</v>
      </c>
      <c r="W78" s="979">
        <f>IF(V78&gt;2.9,$C78,IF(V78&gt;1.9,$C79,IF(V78&gt;0,$C80,IF(V78=0,"0"))))</f>
        <v>2</v>
      </c>
      <c r="X78" s="979">
        <v>3</v>
      </c>
      <c r="Y78" s="979">
        <f>IF(X78&gt;2.9,$C78,IF(X78&gt;1.9,$C79,IF(X78&gt;0,$C80,IF(X78=0,"0"))))</f>
        <v>4</v>
      </c>
      <c r="Z78" s="979"/>
      <c r="AA78" s="979" t="str">
        <f>IF(Z78&gt;2.9,$C78,IF(Z78&gt;1.4,$C79,IF(Z78&gt;0,$C80,IF(Z78=0,"0"))))</f>
        <v>0</v>
      </c>
      <c r="AB78" s="979">
        <v>3</v>
      </c>
      <c r="AC78" s="979">
        <f>IF(AB78&gt;2.9,$C78,IF(AB78&gt;1.9,$C79,IF(AB78&gt;0,$C80,IF(AB78=0,"0"))))</f>
        <v>4</v>
      </c>
      <c r="AD78" s="979">
        <v>3</v>
      </c>
      <c r="AE78" s="979">
        <f>IF(AD78&gt;2.9,$C78,IF(AD78&gt;1.9,$C79,IF(AD78&gt;0,$C80,IF(AD78=0,"0"))))</f>
        <v>4</v>
      </c>
      <c r="AF78" s="979">
        <v>2.5</v>
      </c>
      <c r="AG78" s="979">
        <f>IF(AF78&gt;2.9,$C78,IF(AF78&gt;1.9,$C79,IF(AF78&gt;0,$C80,IF(AF78=0,"0"))))</f>
        <v>2</v>
      </c>
      <c r="AH78" s="979"/>
      <c r="AI78" s="979" t="str">
        <f>IF(AH78&gt;2.9,$C78,IF(AH78&gt;1.4,$C79,IF(AH78&gt;0,$C80,IF(AH78=0,"0"))))</f>
        <v>0</v>
      </c>
      <c r="AJ78" s="979">
        <v>2.2000000000000002</v>
      </c>
      <c r="AK78" s="979">
        <f>IF(AJ78&gt;2.9,$C78,IF(AJ78&gt;1.9,$C79,IF(AJ78&gt;0,$C80,IF(AJ78=0,"0"))))</f>
        <v>2</v>
      </c>
      <c r="AL78" s="979"/>
      <c r="AM78" s="979" t="str">
        <f>IF(AL78&gt;2.9,$C78,IF(AL78&gt;1.4,$C79,IF(AL78&gt;0,$C80,IF(AL78=0,"0"))))</f>
        <v>0</v>
      </c>
    </row>
    <row r="79" spans="1:39" s="96" customFormat="1" x14ac:dyDescent="0.25">
      <c r="A79" s="69">
        <v>4</v>
      </c>
      <c r="B79" s="266" t="s">
        <v>672</v>
      </c>
      <c r="C79" s="76">
        <v>2</v>
      </c>
      <c r="D79" s="980"/>
      <c r="E79" s="980"/>
      <c r="F79" s="980"/>
      <c r="G79" s="980"/>
      <c r="H79" s="980"/>
      <c r="I79" s="980"/>
      <c r="J79" s="980"/>
      <c r="K79" s="980"/>
      <c r="L79" s="980"/>
      <c r="M79" s="980"/>
      <c r="N79" s="980"/>
      <c r="O79" s="980"/>
      <c r="P79" s="980"/>
      <c r="Q79" s="980"/>
      <c r="R79" s="980"/>
      <c r="S79" s="980"/>
      <c r="T79" s="980"/>
      <c r="U79" s="980"/>
      <c r="V79" s="980"/>
      <c r="W79" s="980"/>
      <c r="X79" s="980"/>
      <c r="Y79" s="980"/>
      <c r="Z79" s="980"/>
      <c r="AA79" s="980"/>
      <c r="AB79" s="980"/>
      <c r="AC79" s="980"/>
      <c r="AD79" s="980"/>
      <c r="AE79" s="980"/>
      <c r="AF79" s="980"/>
      <c r="AG79" s="980"/>
      <c r="AH79" s="980"/>
      <c r="AI79" s="980"/>
      <c r="AJ79" s="980"/>
      <c r="AK79" s="980"/>
      <c r="AL79" s="980"/>
      <c r="AM79" s="980"/>
    </row>
    <row r="80" spans="1:39" s="96" customFormat="1" x14ac:dyDescent="0.25">
      <c r="A80" s="70"/>
      <c r="B80" s="266" t="s">
        <v>671</v>
      </c>
      <c r="C80" s="76">
        <v>1</v>
      </c>
      <c r="D80" s="981"/>
      <c r="E80" s="981"/>
      <c r="F80" s="981"/>
      <c r="G80" s="981"/>
      <c r="H80" s="981"/>
      <c r="I80" s="981"/>
      <c r="J80" s="981"/>
      <c r="K80" s="981"/>
      <c r="L80" s="981"/>
      <c r="M80" s="981"/>
      <c r="N80" s="981"/>
      <c r="O80" s="981"/>
      <c r="P80" s="981"/>
      <c r="Q80" s="981"/>
      <c r="R80" s="981"/>
      <c r="S80" s="981"/>
      <c r="T80" s="981"/>
      <c r="U80" s="981"/>
      <c r="V80" s="981"/>
      <c r="W80" s="981"/>
      <c r="X80" s="981"/>
      <c r="Y80" s="981"/>
      <c r="Z80" s="981"/>
      <c r="AA80" s="981"/>
      <c r="AB80" s="981"/>
      <c r="AC80" s="981"/>
      <c r="AD80" s="981"/>
      <c r="AE80" s="981"/>
      <c r="AF80" s="981"/>
      <c r="AG80" s="981"/>
      <c r="AH80" s="981"/>
      <c r="AI80" s="981"/>
      <c r="AJ80" s="981"/>
      <c r="AK80" s="981"/>
      <c r="AL80" s="981"/>
      <c r="AM80" s="981"/>
    </row>
    <row r="81" spans="1:39" s="96" customFormat="1" x14ac:dyDescent="0.25">
      <c r="A81" s="418" t="s">
        <v>221</v>
      </c>
      <c r="B81" s="97" t="s">
        <v>65</v>
      </c>
      <c r="C81" s="402">
        <v>0</v>
      </c>
      <c r="D81" s="1029"/>
      <c r="E81" s="1029" t="str">
        <f>IF(D81&gt;2.9,$C81,IF(D81&gt;1.4,$C82,IF(D81&gt;0,$C83,IF(D81=0,"0"))))</f>
        <v>0</v>
      </c>
      <c r="F81" s="976"/>
      <c r="G81" s="976" t="str">
        <f>IF(F81&gt;2.9,$C81,IF(F81&gt;1.4,$C82,IF(F81&gt;0,$C83,IF(F81=0,"0"))))</f>
        <v>0</v>
      </c>
      <c r="H81" s="976">
        <v>50</v>
      </c>
      <c r="I81" s="976">
        <f>IF(H81&gt;49,$C83,IF(H81&gt;34,$C82,IF(H81&gt;0,$C81,IF(H81=0,"0"))))</f>
        <v>4</v>
      </c>
      <c r="J81" s="976">
        <v>25</v>
      </c>
      <c r="K81" s="976">
        <f>IF(J81&gt;49,$C83,IF(J81&gt;34,$C82,IF(J81&gt;0,$C81,IF(J81=0,"0"))))</f>
        <v>0</v>
      </c>
      <c r="L81" s="976">
        <v>40</v>
      </c>
      <c r="M81" s="976">
        <f>IF(L81&gt;49,$C83,IF(L81&gt;34,$C82,IF(L81&gt;0,$C81,IF(L81=0,"0"))))</f>
        <v>1</v>
      </c>
      <c r="N81" s="976">
        <v>40</v>
      </c>
      <c r="O81" s="976">
        <f>IF(N81&gt;49,$C83,IF(N81&gt;34,$C82,IF(N81&gt;0,$C81,IF(N81=0,"0"))))</f>
        <v>1</v>
      </c>
      <c r="P81" s="976"/>
      <c r="Q81" s="976" t="str">
        <f>IF(P81&gt;2.9,$C81,IF(P81&gt;1.4,$C82,IF(P81&gt;0,$C83,IF(P81=0,"0"))))</f>
        <v>0</v>
      </c>
      <c r="R81" s="976">
        <v>25</v>
      </c>
      <c r="S81" s="976">
        <f>IF(R81&gt;49,$C83,IF(R81&gt;34,$C82,IF(R81&gt;0,$C81,IF(R81=0,"0"))))</f>
        <v>0</v>
      </c>
      <c r="T81" s="1029">
        <v>60</v>
      </c>
      <c r="U81" s="976">
        <f>IF(T81&gt;49,$C83,IF(T81&gt;34,$C82,IF(T81&gt;0,$C81,IF(T81=0,"0"))))</f>
        <v>4</v>
      </c>
      <c r="V81" s="976">
        <v>70</v>
      </c>
      <c r="W81" s="976">
        <f>IF(V81&gt;49,$C83,IF(V81&gt;34,$C82,IF(V81&gt;0,$C81,IF(V81=0,"0"))))</f>
        <v>4</v>
      </c>
      <c r="X81" s="976">
        <v>25</v>
      </c>
      <c r="Y81" s="976">
        <f>IF(X81&gt;49,$C83,IF(X81&gt;34,$C82,IF(X81&gt;0,$C81,IF(X81=0,"0"))))</f>
        <v>0</v>
      </c>
      <c r="Z81" s="976"/>
      <c r="AA81" s="976" t="str">
        <f>IF(Z81&gt;2.9,$C81,IF(Z81&gt;1.4,$C82,IF(Z81&gt;0,$C83,IF(Z81=0,"0"))))</f>
        <v>0</v>
      </c>
      <c r="AB81" s="976">
        <v>30</v>
      </c>
      <c r="AC81" s="976">
        <f>IF(AB81&gt;49,$C83,IF(AB81&gt;34,$C82,IF(AB81&gt;0,$C81,IF(AB81=0,"0"))))</f>
        <v>0</v>
      </c>
      <c r="AD81" s="976">
        <v>25</v>
      </c>
      <c r="AE81" s="976">
        <f>IF(AD81&gt;49,$C83,IF(AD81&gt;34,$C82,IF(AD81&gt;0,$C81,IF(AD81=0,"0"))))</f>
        <v>0</v>
      </c>
      <c r="AF81" s="976">
        <v>34</v>
      </c>
      <c r="AG81" s="976">
        <f>IF(AF81&gt;49,$C83,IF(AF81&gt;34,$C82,IF(AF81&gt;0,$C81,IF(AF81=0,"0"))))</f>
        <v>0</v>
      </c>
      <c r="AH81" s="976"/>
      <c r="AI81" s="1029" t="str">
        <f>IF(AH81&gt;2.9,$C81,IF(AH81&gt;1.4,$C82,IF(AH81&gt;0,$C83,IF(AH81=0,"0"))))</f>
        <v>0</v>
      </c>
      <c r="AJ81" s="976"/>
      <c r="AK81" s="976" t="str">
        <f>IF(AJ81&gt;49,$C83,IF(AJ81&gt;34,$C82,IF(AJ81&gt;0,$C81,IF(AJ81=0,"0"))))</f>
        <v>0</v>
      </c>
      <c r="AL81" s="976"/>
      <c r="AM81" s="1029" t="str">
        <f>IF(AL81&gt;2.9,$C81,IF(AL81&gt;1.4,$C82,IF(AL81&gt;0,$C83,IF(AL81=0,"0"))))</f>
        <v>0</v>
      </c>
    </row>
    <row r="82" spans="1:39" s="96" customFormat="1" ht="13.8" x14ac:dyDescent="0.3">
      <c r="A82" s="399">
        <v>4</v>
      </c>
      <c r="B82" s="415" t="s">
        <v>1123</v>
      </c>
      <c r="C82" s="402">
        <v>1</v>
      </c>
      <c r="D82" s="1030"/>
      <c r="E82" s="1030"/>
      <c r="F82" s="977"/>
      <c r="G82" s="977"/>
      <c r="H82" s="977"/>
      <c r="I82" s="977"/>
      <c r="J82" s="977"/>
      <c r="K82" s="977"/>
      <c r="L82" s="977"/>
      <c r="M82" s="977"/>
      <c r="N82" s="977"/>
      <c r="O82" s="977"/>
      <c r="P82" s="977"/>
      <c r="Q82" s="977"/>
      <c r="R82" s="977"/>
      <c r="S82" s="977"/>
      <c r="T82" s="1030"/>
      <c r="U82" s="977"/>
      <c r="V82" s="977"/>
      <c r="W82" s="977"/>
      <c r="X82" s="977"/>
      <c r="Y82" s="977"/>
      <c r="Z82" s="977"/>
      <c r="AA82" s="977"/>
      <c r="AB82" s="977"/>
      <c r="AC82" s="977"/>
      <c r="AD82" s="977"/>
      <c r="AE82" s="977"/>
      <c r="AF82" s="977"/>
      <c r="AG82" s="977"/>
      <c r="AH82" s="977"/>
      <c r="AI82" s="1030"/>
      <c r="AJ82" s="977"/>
      <c r="AK82" s="977"/>
      <c r="AL82" s="977"/>
      <c r="AM82" s="1030"/>
    </row>
    <row r="83" spans="1:39" s="96" customFormat="1" x14ac:dyDescent="0.25">
      <c r="A83" s="400"/>
      <c r="B83" s="415" t="s">
        <v>1124</v>
      </c>
      <c r="C83" s="402">
        <f>A82</f>
        <v>4</v>
      </c>
      <c r="D83" s="1033"/>
      <c r="E83" s="1033"/>
      <c r="F83" s="978"/>
      <c r="G83" s="978"/>
      <c r="H83" s="978"/>
      <c r="I83" s="978"/>
      <c r="J83" s="978"/>
      <c r="K83" s="978"/>
      <c r="L83" s="978"/>
      <c r="M83" s="978"/>
      <c r="N83" s="978"/>
      <c r="O83" s="978"/>
      <c r="P83" s="978"/>
      <c r="Q83" s="978"/>
      <c r="R83" s="978"/>
      <c r="S83" s="978"/>
      <c r="T83" s="1033"/>
      <c r="U83" s="978"/>
      <c r="V83" s="978"/>
      <c r="W83" s="978"/>
      <c r="X83" s="978"/>
      <c r="Y83" s="978"/>
      <c r="Z83" s="978"/>
      <c r="AA83" s="978"/>
      <c r="AB83" s="978"/>
      <c r="AC83" s="978"/>
      <c r="AD83" s="978"/>
      <c r="AE83" s="978"/>
      <c r="AF83" s="978"/>
      <c r="AG83" s="978"/>
      <c r="AH83" s="978"/>
      <c r="AI83" s="1033"/>
      <c r="AJ83" s="978"/>
      <c r="AK83" s="978"/>
      <c r="AL83" s="978"/>
      <c r="AM83" s="1033"/>
    </row>
    <row r="84" spans="1:39" s="96" customFormat="1" x14ac:dyDescent="0.25">
      <c r="A84" s="123" t="s">
        <v>233</v>
      </c>
      <c r="B84" s="393" t="s">
        <v>94</v>
      </c>
      <c r="C84" s="26">
        <v>2</v>
      </c>
      <c r="D84" s="26"/>
      <c r="E84" s="76">
        <f>IF(D84="S",$C84,0)</f>
        <v>0</v>
      </c>
      <c r="F84" s="76"/>
      <c r="G84" s="76">
        <f>IF(F84="S",$C84,0)</f>
        <v>0</v>
      </c>
      <c r="H84" s="114" t="s">
        <v>108</v>
      </c>
      <c r="I84" s="76">
        <f>IF(H84="S",$C84,0)</f>
        <v>2</v>
      </c>
      <c r="J84" s="433" t="s">
        <v>108</v>
      </c>
      <c r="K84" s="76">
        <f>IF(J84="S",$C84,0)</f>
        <v>2</v>
      </c>
      <c r="L84" s="433" t="s">
        <v>108</v>
      </c>
      <c r="M84" s="76">
        <f>IF(L84="S",$C84,0)</f>
        <v>2</v>
      </c>
      <c r="N84" s="114" t="s">
        <v>108</v>
      </c>
      <c r="O84" s="76">
        <f>IF(N84="S",$C84,0)</f>
        <v>2</v>
      </c>
      <c r="P84" s="76"/>
      <c r="Q84" s="76">
        <f>IF(P84="S",$C84,0)</f>
        <v>0</v>
      </c>
      <c r="R84" s="465" t="s">
        <v>108</v>
      </c>
      <c r="S84" s="76">
        <f>IF(R84="S",$C84,0)</f>
        <v>2</v>
      </c>
      <c r="T84" s="187" t="s">
        <v>108</v>
      </c>
      <c r="U84" s="76">
        <f>IF(T84="S",$C84,0)</f>
        <v>2</v>
      </c>
      <c r="V84" s="461" t="s">
        <v>108</v>
      </c>
      <c r="W84" s="76">
        <f>IF(V84="S",$C84,0)</f>
        <v>2</v>
      </c>
      <c r="X84" s="471" t="s">
        <v>108</v>
      </c>
      <c r="Y84" s="76">
        <f>IF(X84="S",$C84,0)</f>
        <v>2</v>
      </c>
      <c r="Z84" s="76"/>
      <c r="AA84" s="76">
        <f>IF(Z84="S",$C84,0)</f>
        <v>0</v>
      </c>
      <c r="AB84" s="114" t="s">
        <v>108</v>
      </c>
      <c r="AC84" s="76">
        <f>IF(AB84="S",$C84,0)</f>
        <v>2</v>
      </c>
      <c r="AD84" s="465" t="s">
        <v>108</v>
      </c>
      <c r="AE84" s="76">
        <f>IF(AD84="S",$C84,0)</f>
        <v>2</v>
      </c>
      <c r="AF84" s="114" t="s">
        <v>108</v>
      </c>
      <c r="AG84" s="76">
        <f>IF(AF84="S",$C84,0)</f>
        <v>2</v>
      </c>
      <c r="AH84" s="76"/>
      <c r="AI84" s="76">
        <f>IF(AH84="S",$C84,0)</f>
        <v>0</v>
      </c>
      <c r="AJ84" s="461" t="s">
        <v>108</v>
      </c>
      <c r="AK84" s="76">
        <f>IF(AJ84="S",$C84,0)</f>
        <v>2</v>
      </c>
      <c r="AL84" s="76"/>
      <c r="AM84" s="76">
        <f>IF(AL84="S",$C84,0)</f>
        <v>0</v>
      </c>
    </row>
    <row r="85" spans="1:39" s="96" customFormat="1" x14ac:dyDescent="0.25">
      <c r="A85" s="70">
        <v>2</v>
      </c>
      <c r="B85" s="421" t="s">
        <v>325</v>
      </c>
      <c r="C85" s="26">
        <v>0</v>
      </c>
      <c r="D85" s="26"/>
      <c r="E85" s="76">
        <f>IF(D85="S",$C85,0)</f>
        <v>0</v>
      </c>
      <c r="F85" s="76"/>
      <c r="G85" s="76">
        <f>IF(F85="S",$C85,0)</f>
        <v>0</v>
      </c>
      <c r="H85" s="76"/>
      <c r="I85" s="76">
        <f>IF(H85="S",$C85,0)</f>
        <v>0</v>
      </c>
      <c r="J85" s="76"/>
      <c r="K85" s="76">
        <f>IF(J85="S",$C85,0)</f>
        <v>0</v>
      </c>
      <c r="L85" s="76"/>
      <c r="M85" s="76">
        <f>IF(L85="S",$C85,0)</f>
        <v>0</v>
      </c>
      <c r="N85" s="76"/>
      <c r="O85" s="76">
        <f>IF(N85="S",$C85,0)</f>
        <v>0</v>
      </c>
      <c r="P85" s="76"/>
      <c r="Q85" s="76">
        <f>IF(P85="S",$C85,0)</f>
        <v>0</v>
      </c>
      <c r="R85" s="76"/>
      <c r="S85" s="76">
        <f>IF(R85="S",$C85,0)</f>
        <v>0</v>
      </c>
      <c r="T85" s="164"/>
      <c r="U85" s="76">
        <f>IF(T85="S",$C85,0)</f>
        <v>0</v>
      </c>
      <c r="V85" s="76"/>
      <c r="W85" s="76">
        <f>IF(V85="S",$C85,0)</f>
        <v>0</v>
      </c>
      <c r="X85" s="76"/>
      <c r="Y85" s="76">
        <f>IF(X85="S",$C85,0)</f>
        <v>0</v>
      </c>
      <c r="Z85" s="76"/>
      <c r="AA85" s="76">
        <f>IF(Z85="S",$C85,0)</f>
        <v>0</v>
      </c>
      <c r="AB85" s="76"/>
      <c r="AC85" s="76">
        <f>IF(AB85="S",$C85,0)</f>
        <v>0</v>
      </c>
      <c r="AD85" s="76"/>
      <c r="AE85" s="76">
        <f>IF(AD85="S",$C85,0)</f>
        <v>0</v>
      </c>
      <c r="AF85" s="76"/>
      <c r="AG85" s="76">
        <f>IF(AF85="S",$C85,0)</f>
        <v>0</v>
      </c>
      <c r="AH85" s="76"/>
      <c r="AI85" s="76">
        <f>IF(AH85="S",$C85,0)</f>
        <v>0</v>
      </c>
      <c r="AJ85" s="76"/>
      <c r="AK85" s="76">
        <f>IF(AJ85="S",$C85,0)</f>
        <v>0</v>
      </c>
      <c r="AL85" s="76"/>
      <c r="AM85" s="76">
        <f>IF(AL85="S",$C85,0)</f>
        <v>0</v>
      </c>
    </row>
    <row r="86" spans="1:39" s="96" customFormat="1" x14ac:dyDescent="0.25">
      <c r="A86" s="120" t="s">
        <v>205</v>
      </c>
      <c r="B86" s="97" t="s">
        <v>227</v>
      </c>
      <c r="C86" s="23">
        <f>A87</f>
        <v>4</v>
      </c>
      <c r="D86" s="1029"/>
      <c r="E86" s="1029" t="str">
        <f>IF(D86&gt;41,$C86,IF(D86&gt;0,C87,IF(D86=0,"0")))</f>
        <v>0</v>
      </c>
      <c r="F86" s="976"/>
      <c r="G86" s="976" t="str">
        <f>IF(F86&gt;41,$C86,IF(F86&gt;0,E87,IF(F86=0,"0")))</f>
        <v>0</v>
      </c>
      <c r="H86" s="976">
        <v>50</v>
      </c>
      <c r="I86" s="976">
        <f>IF(H86&gt;41,$C86,IF(H86&gt;0,G87,IF(H86=0,"0")))</f>
        <v>4</v>
      </c>
      <c r="J86" s="976">
        <v>47</v>
      </c>
      <c r="K86" s="976">
        <f>IF(J86&gt;41,$C86,IF(J86&gt;0,I87,IF(J86=0,"0")))</f>
        <v>4</v>
      </c>
      <c r="L86" s="976">
        <v>47</v>
      </c>
      <c r="M86" s="976">
        <f>IF(L86&gt;41,$C86,IF(L86&gt;0,K87,IF(L86=0,"0")))</f>
        <v>4</v>
      </c>
      <c r="N86" s="976">
        <v>47</v>
      </c>
      <c r="O86" s="976">
        <f>IF(N86&gt;41,$C86,IF(N86&gt;0,M87,IF(N86=0,"0")))</f>
        <v>4</v>
      </c>
      <c r="P86" s="976"/>
      <c r="Q86" s="976" t="str">
        <f>IF(P86&gt;41,$C86,IF(P86&gt;0,O87,IF(P86=0,"0")))</f>
        <v>0</v>
      </c>
      <c r="R86" s="976"/>
      <c r="S86" s="1029" t="str">
        <f>IF(R86&gt;41,$C86,IF(R86&gt;0,Q87,IF(R86=0,"0")))</f>
        <v>0</v>
      </c>
      <c r="T86" s="1029">
        <v>47</v>
      </c>
      <c r="U86" s="1029">
        <f>IF(T86&gt;41,$C86,IF(T86&gt;0,S87,IF(T86=0,"0")))</f>
        <v>4</v>
      </c>
      <c r="V86" s="976">
        <v>46</v>
      </c>
      <c r="W86" s="976">
        <f>IF(V86&gt;41,$C86,IF(V86&gt;0,U87,IF(V86=0,"0")))</f>
        <v>4</v>
      </c>
      <c r="X86" s="976">
        <v>48</v>
      </c>
      <c r="Y86" s="976">
        <f>IF(X86&gt;41,$C86,IF(X86&gt;0,W87,IF(X86=0,"0")))</f>
        <v>4</v>
      </c>
      <c r="Z86" s="976"/>
      <c r="AA86" s="976" t="str">
        <f>IF(Z86&gt;41,$C86,IF(Z86&gt;0,Y87,IF(Z86=0,"0")))</f>
        <v>0</v>
      </c>
      <c r="AB86" s="976">
        <v>44</v>
      </c>
      <c r="AC86" s="976">
        <f>IF(AB86&gt;41,$C86,IF(AB86&gt;0,AA87,IF(AB86=0,"0")))</f>
        <v>4</v>
      </c>
      <c r="AD86" s="976">
        <v>48</v>
      </c>
      <c r="AE86" s="976">
        <f>IF(AD86&gt;41,$C86,IF(AD86&gt;0,AC87,IF(AD86=0,"0")))</f>
        <v>4</v>
      </c>
      <c r="AF86" s="976">
        <v>45</v>
      </c>
      <c r="AG86" s="976">
        <f>IF(AF86&gt;41,$C86,IF(AF86&gt;0,AE87,IF(AF86=0,"0")))</f>
        <v>4</v>
      </c>
      <c r="AH86" s="976"/>
      <c r="AI86" s="1029" t="str">
        <f>IF(AH86&gt;41,$C86,IF(AH86&gt;0,AG87,IF(AH86=0,"0")))</f>
        <v>0</v>
      </c>
      <c r="AJ86" s="976">
        <v>43</v>
      </c>
      <c r="AK86" s="976">
        <f>IF(AJ86&gt;41,$C86,IF(AJ86&gt;0,AI87,IF(AJ86=0,"0")))</f>
        <v>4</v>
      </c>
      <c r="AL86" s="976"/>
      <c r="AM86" s="1029" t="str">
        <f>IF(AL86&gt;41,$C86,IF(AL86&gt;0,AK87,IF(AL86=0,"0")))</f>
        <v>0</v>
      </c>
    </row>
    <row r="87" spans="1:39" s="96" customFormat="1" x14ac:dyDescent="0.25">
      <c r="A87" s="400">
        <v>4</v>
      </c>
      <c r="B87" s="97" t="s">
        <v>222</v>
      </c>
      <c r="C87" s="86">
        <v>0</v>
      </c>
      <c r="D87" s="1030"/>
      <c r="E87" s="1030"/>
      <c r="F87" s="977"/>
      <c r="G87" s="977"/>
      <c r="H87" s="977"/>
      <c r="I87" s="977"/>
      <c r="J87" s="977"/>
      <c r="K87" s="977"/>
      <c r="L87" s="977"/>
      <c r="M87" s="977"/>
      <c r="N87" s="977"/>
      <c r="O87" s="977"/>
      <c r="P87" s="977"/>
      <c r="Q87" s="977"/>
      <c r="R87" s="977"/>
      <c r="S87" s="1030"/>
      <c r="T87" s="1030"/>
      <c r="U87" s="1030"/>
      <c r="V87" s="977"/>
      <c r="W87" s="977"/>
      <c r="X87" s="977"/>
      <c r="Y87" s="977"/>
      <c r="Z87" s="977"/>
      <c r="AA87" s="977"/>
      <c r="AB87" s="977"/>
      <c r="AC87" s="977"/>
      <c r="AD87" s="977"/>
      <c r="AE87" s="977"/>
      <c r="AF87" s="977"/>
      <c r="AG87" s="977"/>
      <c r="AH87" s="977"/>
      <c r="AI87" s="1030"/>
      <c r="AJ87" s="977"/>
      <c r="AK87" s="977"/>
      <c r="AL87" s="977"/>
      <c r="AM87" s="1030"/>
    </row>
    <row r="88" spans="1:39" s="96" customFormat="1" x14ac:dyDescent="0.25">
      <c r="A88" s="124" t="s">
        <v>206</v>
      </c>
      <c r="B88" s="288" t="s">
        <v>208</v>
      </c>
      <c r="C88" s="76">
        <f>A89</f>
        <v>4</v>
      </c>
      <c r="D88" s="979"/>
      <c r="E88" s="979" t="str">
        <f>IF(D88&gt;39,$C88,IF(D88&gt;0,$C89,IF(D88=0,"0")))</f>
        <v>0</v>
      </c>
      <c r="F88" s="979"/>
      <c r="G88" s="979" t="str">
        <f>IF(F88&gt;39,$C88,IF(F88&gt;0,$C89,IF(F88=0,"0")))</f>
        <v>0</v>
      </c>
      <c r="H88" s="979">
        <v>46.5</v>
      </c>
      <c r="I88" s="979">
        <f>IF(H88&gt;39,$C88,IF(H88&gt;0,$C89,IF(H88=0,"0")))</f>
        <v>4</v>
      </c>
      <c r="J88" s="979">
        <v>44</v>
      </c>
      <c r="K88" s="979">
        <f>IF(J88&gt;39,$C88,IF(J88&gt;0,$C89,IF(J88=0,"0")))</f>
        <v>4</v>
      </c>
      <c r="L88" s="979">
        <v>47</v>
      </c>
      <c r="M88" s="979">
        <f>IF(L88&gt;39,$C88,IF(L88&gt;0,$C89,IF(L88=0,"0")))</f>
        <v>4</v>
      </c>
      <c r="N88" s="979">
        <v>47</v>
      </c>
      <c r="O88" s="979">
        <f>IF(N88&gt;39,$C88,IF(N88&gt;0,$C89,IF(N88=0,"0")))</f>
        <v>4</v>
      </c>
      <c r="P88" s="979"/>
      <c r="Q88" s="979" t="str">
        <f>IF(P88&gt;39,$C88,IF(P88&gt;0,$C89,IF(P88=0,"0")))</f>
        <v>0</v>
      </c>
      <c r="R88" s="979"/>
      <c r="S88" s="979" t="str">
        <f>IF(R88&gt;39,$C88,IF(R88&gt;0,$C89,IF(R88=0,"0")))</f>
        <v>0</v>
      </c>
      <c r="T88" s="979">
        <v>40</v>
      </c>
      <c r="U88" s="979">
        <f>IF(T88&gt;39,$C88,IF(T88&gt;0,$C89,IF(T88=0,"0")))</f>
        <v>4</v>
      </c>
      <c r="V88" s="979">
        <v>44</v>
      </c>
      <c r="W88" s="979">
        <f>IF(V88&gt;39,$C88,IF(V88&gt;0,$C89,IF(V88=0,"0")))</f>
        <v>4</v>
      </c>
      <c r="X88" s="979">
        <v>50</v>
      </c>
      <c r="Y88" s="979">
        <f>IF(X88&gt;39,$C88,IF(X88&gt;0,$C89,IF(X88=0,"0")))</f>
        <v>4</v>
      </c>
      <c r="Z88" s="979"/>
      <c r="AA88" s="979" t="str">
        <f>IF(Z88&gt;39,$C88,IF(Z88&gt;0,$C89,IF(Z88=0,"0")))</f>
        <v>0</v>
      </c>
      <c r="AB88" s="979">
        <v>44.5</v>
      </c>
      <c r="AC88" s="979">
        <f>IF(AB88&gt;39,$C88,IF(AB88&gt;0,$C89,IF(AB88=0,"0")))</f>
        <v>4</v>
      </c>
      <c r="AD88" s="979">
        <v>66</v>
      </c>
      <c r="AE88" s="979">
        <f>IF(AD88&gt;39,$C88,IF(AD88&gt;0,$C89,IF(AD88=0,"0")))</f>
        <v>4</v>
      </c>
      <c r="AF88" s="979">
        <v>43</v>
      </c>
      <c r="AG88" s="979">
        <f>IF(AF88&gt;39,$C88,IF(AF88&gt;0,$C89,IF(AF88=0,"0")))</f>
        <v>4</v>
      </c>
      <c r="AH88" s="979"/>
      <c r="AI88" s="979" t="str">
        <f>IF(AH88&gt;39,$C88,IF(AH88&gt;0,$C89,IF(AH88=0,"0")))</f>
        <v>0</v>
      </c>
      <c r="AJ88" s="979">
        <v>38</v>
      </c>
      <c r="AK88" s="979">
        <f>IF(AJ88&gt;39,$C88,IF(AJ88&gt;0,$C89,IF(AJ88=0,"0")))</f>
        <v>0</v>
      </c>
      <c r="AL88" s="979"/>
      <c r="AM88" s="979" t="str">
        <f>IF(AL88&gt;39,$C88,IF(AL88&gt;0,$C89,IF(AL88=0,"0")))</f>
        <v>0</v>
      </c>
    </row>
    <row r="89" spans="1:39" s="96" customFormat="1" x14ac:dyDescent="0.25">
      <c r="A89" s="414">
        <v>4</v>
      </c>
      <c r="B89" s="288" t="s">
        <v>197</v>
      </c>
      <c r="C89" s="26">
        <v>0</v>
      </c>
      <c r="D89" s="980"/>
      <c r="E89" s="980"/>
      <c r="F89" s="980"/>
      <c r="G89" s="980"/>
      <c r="H89" s="980"/>
      <c r="I89" s="980"/>
      <c r="J89" s="980"/>
      <c r="K89" s="981"/>
      <c r="L89" s="980"/>
      <c r="M89" s="981"/>
      <c r="N89" s="980"/>
      <c r="O89" s="981"/>
      <c r="P89" s="980"/>
      <c r="Q89" s="980"/>
      <c r="R89" s="980"/>
      <c r="S89" s="981"/>
      <c r="T89" s="980"/>
      <c r="U89" s="981"/>
      <c r="V89" s="980"/>
      <c r="W89" s="981"/>
      <c r="X89" s="980"/>
      <c r="Y89" s="981"/>
      <c r="Z89" s="980"/>
      <c r="AA89" s="980"/>
      <c r="AB89" s="981"/>
      <c r="AC89" s="981"/>
      <c r="AD89" s="980"/>
      <c r="AE89" s="981"/>
      <c r="AF89" s="980"/>
      <c r="AG89" s="981"/>
      <c r="AH89" s="980"/>
      <c r="AI89" s="980"/>
      <c r="AJ89" s="981"/>
      <c r="AK89" s="981"/>
      <c r="AL89" s="980"/>
      <c r="AM89" s="980"/>
    </row>
    <row r="90" spans="1:39" s="96" customFormat="1" x14ac:dyDescent="0.25">
      <c r="A90" s="120" t="s">
        <v>207</v>
      </c>
      <c r="B90" s="97" t="s">
        <v>223</v>
      </c>
      <c r="C90" s="23">
        <f>A91</f>
        <v>4</v>
      </c>
      <c r="D90" s="1029"/>
      <c r="E90" s="1029" t="str">
        <f>IF(D90&gt;37,$C90,IF(D90&gt;0,$C91,IF(D90=0,"0")))</f>
        <v>0</v>
      </c>
      <c r="F90" s="976"/>
      <c r="G90" s="976" t="str">
        <f>IF(F90&gt;39,$C90,IF(F90&gt;0,$C91,IF(F90=0,"0")))</f>
        <v>0</v>
      </c>
      <c r="H90" s="976">
        <v>46.5</v>
      </c>
      <c r="I90" s="976">
        <f>IF(H90&gt;39,$C90,IF(H90&gt;0,$C91,IF(H90=0,"0")))</f>
        <v>4</v>
      </c>
      <c r="J90" s="976">
        <v>46</v>
      </c>
      <c r="K90" s="976">
        <f>IF(J90&gt;39,$C90,IF(J90&gt;0,$C91,IF(J90=0,"0")))</f>
        <v>4</v>
      </c>
      <c r="L90" s="976">
        <v>45</v>
      </c>
      <c r="M90" s="976">
        <f>IF(L90&gt;39,$C90,IF(L90&gt;0,$C91,IF(L90=0,"0")))</f>
        <v>4</v>
      </c>
      <c r="N90" s="976">
        <v>45</v>
      </c>
      <c r="O90" s="976">
        <f>IF(N90&gt;39,$C90,IF(N90&gt;0,$C91,IF(N90=0,"0")))</f>
        <v>4</v>
      </c>
      <c r="P90" s="976"/>
      <c r="Q90" s="976" t="str">
        <f>IF(P90&gt;39,$C90,IF(P90&gt;0,$C91,IF(P90=0,"0")))</f>
        <v>0</v>
      </c>
      <c r="R90" s="1029"/>
      <c r="S90" s="1029" t="str">
        <f>IF(R90&gt;39,$C90,IF(R90&gt;0,$C91,IF(R90=0,"0")))</f>
        <v>0</v>
      </c>
      <c r="T90" s="1029">
        <v>43</v>
      </c>
      <c r="U90" s="1029">
        <f>IF(T90&gt;37,$C90,IF(T90&gt;0,$C91,IF(T90=0,"0")))</f>
        <v>4</v>
      </c>
      <c r="V90" s="976">
        <v>45</v>
      </c>
      <c r="W90" s="976">
        <f>IF(V90&gt;39,$C90,IF(V90&gt;0,$C91,IF(V90=0,"0")))</f>
        <v>4</v>
      </c>
      <c r="X90" s="976">
        <v>45</v>
      </c>
      <c r="Y90" s="976">
        <f>IF(X90&gt;39,$C90,IF(X90&gt;0,$C91,IF(X90=0,"0")))</f>
        <v>4</v>
      </c>
      <c r="Z90" s="976"/>
      <c r="AA90" s="976" t="str">
        <f>IF(Z90&gt;39,$C90,IF(Z90&gt;0,$C91,IF(Z90=0,"0")))</f>
        <v>0</v>
      </c>
      <c r="AB90" s="976">
        <v>40</v>
      </c>
      <c r="AC90" s="976">
        <f>IF(AB90&gt;39,$C90,IF(AB90&gt;0,$C91,IF(AB90=0,"0")))</f>
        <v>4</v>
      </c>
      <c r="AD90" s="976">
        <v>56</v>
      </c>
      <c r="AE90" s="976">
        <f>IF(AD90&gt;39,$C90,IF(AD90&gt;0,$C91,IF(AD90=0,"0")))</f>
        <v>4</v>
      </c>
      <c r="AF90" s="976">
        <v>46</v>
      </c>
      <c r="AG90" s="976">
        <f>IF(AF90&gt;39,$C90,IF(AF90&gt;0,$C91,IF(AF90=0,"0")))</f>
        <v>4</v>
      </c>
      <c r="AH90" s="1029"/>
      <c r="AI90" s="1029" t="str">
        <f>IF(AH90&gt;39,$C90,IF(AH90&gt;0,$C91,IF(AH90=0,"0")))</f>
        <v>0</v>
      </c>
      <c r="AJ90" s="976">
        <v>46</v>
      </c>
      <c r="AK90" s="976">
        <f>IF(AJ90&gt;39,$C90,IF(AJ90&gt;0,$C91,IF(AJ90=0,"0")))</f>
        <v>4</v>
      </c>
      <c r="AL90" s="1029"/>
      <c r="AM90" s="1029" t="str">
        <f>IF(AL90&gt;39,$C90,IF(AL90&gt;0,$C91,IF(AL90=0,"0")))</f>
        <v>0</v>
      </c>
    </row>
    <row r="91" spans="1:39" s="96" customFormat="1" x14ac:dyDescent="0.25">
      <c r="A91" s="279">
        <v>4</v>
      </c>
      <c r="B91" s="97" t="s">
        <v>224</v>
      </c>
      <c r="C91" s="23">
        <v>0</v>
      </c>
      <c r="D91" s="1030"/>
      <c r="E91" s="1030"/>
      <c r="F91" s="977"/>
      <c r="G91" s="977"/>
      <c r="H91" s="977"/>
      <c r="I91" s="978"/>
      <c r="J91" s="977"/>
      <c r="K91" s="978"/>
      <c r="L91" s="977"/>
      <c r="M91" s="978"/>
      <c r="N91" s="977"/>
      <c r="O91" s="978"/>
      <c r="P91" s="977"/>
      <c r="Q91" s="977"/>
      <c r="R91" s="1030"/>
      <c r="S91" s="1033"/>
      <c r="T91" s="1030"/>
      <c r="U91" s="1033"/>
      <c r="V91" s="977"/>
      <c r="W91" s="978"/>
      <c r="X91" s="977"/>
      <c r="Y91" s="978"/>
      <c r="Z91" s="977"/>
      <c r="AA91" s="977"/>
      <c r="AB91" s="978"/>
      <c r="AC91" s="978"/>
      <c r="AD91" s="977"/>
      <c r="AE91" s="978"/>
      <c r="AF91" s="977"/>
      <c r="AG91" s="978"/>
      <c r="AH91" s="1030"/>
      <c r="AI91" s="1030"/>
      <c r="AJ91" s="978"/>
      <c r="AK91" s="978"/>
      <c r="AL91" s="1030"/>
      <c r="AM91" s="1030"/>
    </row>
    <row r="92" spans="1:39" s="96" customFormat="1" x14ac:dyDescent="0.25">
      <c r="A92" s="124" t="s">
        <v>45</v>
      </c>
      <c r="B92" s="288" t="s">
        <v>65</v>
      </c>
      <c r="C92" s="433">
        <v>0</v>
      </c>
      <c r="D92" s="979"/>
      <c r="E92" s="979" t="str">
        <f>IF(D92&gt;2.9,$C92,IF(D92&gt;1.4,$C93,IF(D92&gt;0,$C94,IF(D92=0,"0"))))</f>
        <v>0</v>
      </c>
      <c r="F92" s="979"/>
      <c r="G92" s="979" t="str">
        <f>IF(F92&gt;2.9,$C92,IF(F92&gt;1.4,$C93,IF(F92&gt;0,$C94,IF(F92=0,"0"))))</f>
        <v>0</v>
      </c>
      <c r="H92" s="979">
        <v>50</v>
      </c>
      <c r="I92" s="979">
        <f>IF(H92&gt;49,$C94,IF(H92&gt;34,$C93,IF(H92&gt;0,$C92,IF(H92=0,"0"))))</f>
        <v>4</v>
      </c>
      <c r="J92" s="979">
        <v>30</v>
      </c>
      <c r="K92" s="979">
        <f>IF(J92&gt;49,$C94,IF(J92&gt;34,$C93,IF(J92&gt;0,$C92,IF(J92=0,"0"))))</f>
        <v>0</v>
      </c>
      <c r="L92" s="979">
        <v>40</v>
      </c>
      <c r="M92" s="979">
        <f>IF(L92&gt;49,$C94,IF(L92&gt;34,$C93,IF(L92&gt;0,$C92,IF(L92=0,"0"))))</f>
        <v>2</v>
      </c>
      <c r="N92" s="979">
        <v>40</v>
      </c>
      <c r="O92" s="979">
        <f>IF(N92&gt;49,$C94,IF(N92&gt;34,$C93,IF(N92&gt;0,$C92,IF(N92=0,"0"))))</f>
        <v>2</v>
      </c>
      <c r="P92" s="979"/>
      <c r="Q92" s="979" t="str">
        <f>IF(P92&gt;2.9,$C92,IF(P92&gt;1.4,$C93,IF(P92&gt;0,$C94,IF(P92=0,"0"))))</f>
        <v>0</v>
      </c>
      <c r="R92" s="979">
        <v>30</v>
      </c>
      <c r="S92" s="979">
        <f>IF(R92&gt;49,$C94,IF(R92&gt;34,$C93,IF(R92&gt;0,$C92,IF(R92=0,"0"))))</f>
        <v>0</v>
      </c>
      <c r="T92" s="979">
        <v>60</v>
      </c>
      <c r="U92" s="979">
        <f>IF(T92&gt;49,$C94,IF(T92&gt;34,$C93,IF(T92&gt;0,$C92,IF(T92=0,"0"))))</f>
        <v>4</v>
      </c>
      <c r="V92" s="979">
        <v>80</v>
      </c>
      <c r="W92" s="979">
        <f>IF(V92&gt;49,$C94,IF(V92&gt;34,$C93,IF(V92&gt;0,$C92,IF(V92=0,"0"))))</f>
        <v>4</v>
      </c>
      <c r="X92" s="979">
        <v>25</v>
      </c>
      <c r="Y92" s="979">
        <f>IF(X92&gt;49,$C94,IF(X92&gt;34,$C93,IF(X92&gt;0,$C92,IF(X92=0,"0"))))</f>
        <v>0</v>
      </c>
      <c r="Z92" s="979"/>
      <c r="AA92" s="979" t="str">
        <f>IF(Z92&gt;2.9,$C92,IF(Z92&gt;1.4,$C93,IF(Z92&gt;0,$C94,IF(Z92=0,"0"))))</f>
        <v>0</v>
      </c>
      <c r="AB92" s="979">
        <v>30</v>
      </c>
      <c r="AC92" s="979">
        <f>IF(AB92&gt;49,$C94,IF(AB92&gt;34,$C93,IF(AB92&gt;0,$C92,IF(AB92=0,"0"))))</f>
        <v>0</v>
      </c>
      <c r="AD92" s="979">
        <v>30</v>
      </c>
      <c r="AE92" s="979">
        <f>IF(AD92&gt;49,$C94,IF(AD92&gt;34,$C93,IF(AD92&gt;0,$C92,IF(AD92=0,"0"))))</f>
        <v>0</v>
      </c>
      <c r="AF92" s="979">
        <v>34</v>
      </c>
      <c r="AG92" s="979">
        <f>IF(AF92&gt;49,$C94,IF(AF92&gt;34,$C93,IF(AF92&gt;0,$C92,IF(AF92=0,"0"))))</f>
        <v>0</v>
      </c>
      <c r="AH92" s="979"/>
      <c r="AI92" s="979" t="str">
        <f>IF(AH92&gt;2.9,$C92,IF(AH92&gt;1.4,$C93,IF(AH92&gt;0,$C94,IF(AH92=0,"0"))))</f>
        <v>0</v>
      </c>
      <c r="AJ92" s="979"/>
      <c r="AK92" s="979" t="str">
        <f>IF(AJ92&gt;49,$C94,IF(AJ92&gt;34,$C93,IF(AJ92&gt;0,$C92,IF(AJ92=0,"0"))))</f>
        <v>0</v>
      </c>
      <c r="AL92" s="429"/>
      <c r="AM92" s="429"/>
    </row>
    <row r="93" spans="1:39" s="96" customFormat="1" ht="13.8" x14ac:dyDescent="0.3">
      <c r="A93" s="107">
        <v>4</v>
      </c>
      <c r="B93" s="307" t="s">
        <v>1123</v>
      </c>
      <c r="C93" s="433">
        <v>2</v>
      </c>
      <c r="D93" s="980"/>
      <c r="E93" s="980"/>
      <c r="F93" s="980"/>
      <c r="G93" s="980"/>
      <c r="H93" s="980"/>
      <c r="I93" s="980"/>
      <c r="J93" s="980"/>
      <c r="K93" s="980"/>
      <c r="L93" s="980"/>
      <c r="M93" s="980"/>
      <c r="N93" s="980"/>
      <c r="O93" s="980"/>
      <c r="P93" s="980"/>
      <c r="Q93" s="980"/>
      <c r="R93" s="980"/>
      <c r="S93" s="980"/>
      <c r="T93" s="980"/>
      <c r="U93" s="980"/>
      <c r="V93" s="980"/>
      <c r="W93" s="980"/>
      <c r="X93" s="980"/>
      <c r="Y93" s="980"/>
      <c r="Z93" s="980"/>
      <c r="AA93" s="980"/>
      <c r="AB93" s="980"/>
      <c r="AC93" s="980"/>
      <c r="AD93" s="980"/>
      <c r="AE93" s="980"/>
      <c r="AF93" s="980"/>
      <c r="AG93" s="980"/>
      <c r="AH93" s="980"/>
      <c r="AI93" s="980"/>
      <c r="AJ93" s="980"/>
      <c r="AK93" s="980"/>
      <c r="AL93" s="429"/>
      <c r="AM93" s="429"/>
    </row>
    <row r="94" spans="1:39" s="96" customFormat="1" x14ac:dyDescent="0.25">
      <c r="A94" s="107"/>
      <c r="B94" s="307" t="s">
        <v>1124</v>
      </c>
      <c r="C94" s="433">
        <f>A93</f>
        <v>4</v>
      </c>
      <c r="D94" s="981"/>
      <c r="E94" s="981"/>
      <c r="F94" s="981"/>
      <c r="G94" s="981"/>
      <c r="H94" s="981"/>
      <c r="I94" s="981"/>
      <c r="J94" s="981"/>
      <c r="K94" s="981"/>
      <c r="L94" s="981"/>
      <c r="M94" s="981"/>
      <c r="N94" s="981"/>
      <c r="O94" s="981"/>
      <c r="P94" s="981"/>
      <c r="Q94" s="981"/>
      <c r="R94" s="981"/>
      <c r="S94" s="981"/>
      <c r="T94" s="981"/>
      <c r="U94" s="981"/>
      <c r="V94" s="981"/>
      <c r="W94" s="981"/>
      <c r="X94" s="981"/>
      <c r="Y94" s="981"/>
      <c r="Z94" s="981"/>
      <c r="AA94" s="981"/>
      <c r="AB94" s="981"/>
      <c r="AC94" s="981"/>
      <c r="AD94" s="981"/>
      <c r="AE94" s="981"/>
      <c r="AF94" s="981"/>
      <c r="AG94" s="981"/>
      <c r="AH94" s="981"/>
      <c r="AI94" s="981"/>
      <c r="AJ94" s="981"/>
      <c r="AK94" s="981"/>
      <c r="AL94" s="429"/>
      <c r="AM94" s="429"/>
    </row>
    <row r="95" spans="1:39" s="96" customFormat="1" x14ac:dyDescent="0.25">
      <c r="A95" s="442" t="s">
        <v>217</v>
      </c>
      <c r="B95" s="259" t="s">
        <v>218</v>
      </c>
      <c r="C95" s="434">
        <v>4</v>
      </c>
      <c r="D95" s="976"/>
      <c r="E95" s="976" t="str">
        <f>IF(D95&gt;100,$C95,IF(D95&gt;50,$C96,IF(D95&gt;0,$C97,IF(D95=0,"0"))))</f>
        <v>0</v>
      </c>
      <c r="F95" s="976"/>
      <c r="G95" s="976" t="str">
        <f>IF(F95&gt;100,$C95,IF(F95&gt;50,$C96,IF(F95&gt;0,$C97,IF(F95=0,"0"))))</f>
        <v>0</v>
      </c>
      <c r="H95" s="976">
        <v>120</v>
      </c>
      <c r="I95" s="976">
        <f>IF(H95&gt;100,$C95,IF(H95&gt;50,$C96,IF(H95&gt;0,$C97,IF(H95=0,"0"))))</f>
        <v>4</v>
      </c>
      <c r="J95" s="976"/>
      <c r="K95" s="976" t="str">
        <f>IF(J95&gt;100,$C95,IF(J95&gt;49.9,$C96,IF(J95&gt;0,$C97,IF(J95=0,"0"))))</f>
        <v>0</v>
      </c>
      <c r="L95" s="976">
        <v>25</v>
      </c>
      <c r="M95" s="976">
        <f>IF(L95&gt;100,$C95,IF(L95&gt;49.9,$C96,IF(L95&gt;0,$C97,IF(L95=0,"0"))))</f>
        <v>0</v>
      </c>
      <c r="N95" s="976">
        <v>25</v>
      </c>
      <c r="O95" s="976">
        <f>IF(N95&gt;100,$C95,IF(N95&gt;49.9,$C96,IF(N95&gt;0,$C97,IF(N95=0,"0"))))</f>
        <v>0</v>
      </c>
      <c r="P95" s="976"/>
      <c r="Q95" s="976" t="str">
        <f>IF(P95&gt;100,$C95,IF(P95&gt;50,$C96,IF(P95&gt;0,$C97,IF(P95=0,"0"))))</f>
        <v>0</v>
      </c>
      <c r="R95" s="976"/>
      <c r="S95" s="976" t="str">
        <f>IF(R95&gt;100,$C95,IF(R95&gt;49.9,$C96,IF(R95&gt;0,$C97,IF(R95=0,"0"))))</f>
        <v>0</v>
      </c>
      <c r="T95" s="976">
        <v>65</v>
      </c>
      <c r="U95" s="976">
        <f>IF(T95&gt;100,$C95,IF(T95&gt;49.9,$C96,IF(T95&gt;0,$C97,IF(T95=0,"0"))))</f>
        <v>2</v>
      </c>
      <c r="V95" s="976">
        <v>65</v>
      </c>
      <c r="W95" s="976">
        <f>IF(V95&gt;100,$C95,IF(V95&gt;49.9,$C96,IF(V95&gt;0,$C97,IF(V95=0,"0"))))</f>
        <v>2</v>
      </c>
      <c r="X95" s="976">
        <v>50</v>
      </c>
      <c r="Y95" s="976">
        <f>IF(X95&gt;100,$C95,IF(X95&gt;50,$C96,IF(X95&gt;0,$C97,IF(X95=0,"0"))))</f>
        <v>0</v>
      </c>
      <c r="Z95" s="976"/>
      <c r="AA95" s="976" t="str">
        <f>IF(Z95&gt;100,$C95,IF(Z95&gt;50,$C96,IF(Z95&gt;0,$C97,IF(Z95=0,"0"))))</f>
        <v>0</v>
      </c>
      <c r="AB95" s="976">
        <v>25</v>
      </c>
      <c r="AC95" s="976">
        <f>IF(AB95&gt;100,$C95,IF(AB95&gt;49.9,$C96,IF(AB95&gt;0,$C97,IF(AB95=0,"0"))))</f>
        <v>0</v>
      </c>
      <c r="AD95" s="976"/>
      <c r="AE95" s="976" t="str">
        <f>IF(AD95&gt;100,$C95,IF(AD95&gt;49.9,$C96,IF(AD95&gt;0,$C97,IF(AD95=0,"0"))))</f>
        <v>0</v>
      </c>
      <c r="AF95" s="976">
        <v>51</v>
      </c>
      <c r="AG95" s="976">
        <f>IF(AF95&gt;100,$C95,IF(AF95&gt;49.9,$C96,IF(AF95&gt;0,$C97,IF(AF95=0,"0"))))</f>
        <v>2</v>
      </c>
      <c r="AH95" s="976"/>
      <c r="AI95" s="976" t="str">
        <f>IF(AH95&gt;100,$C95,IF(AH95&gt;50,$C96,IF(AH95&gt;0,$C97,IF(AH95=0,"0"))))</f>
        <v>0</v>
      </c>
      <c r="AJ95" s="976">
        <v>60</v>
      </c>
      <c r="AK95" s="976">
        <f>IF(AJ95&gt;100,$C95,IF(AJ95&gt;49.9,$C96,IF(AJ95&gt;0,$C97,IF(AJ95=0,"0"))))</f>
        <v>2</v>
      </c>
      <c r="AL95" s="979"/>
      <c r="AM95" s="979" t="str">
        <f>IF(AL95&gt;100,$C95,IF(AL95&gt;50,$C96,IF(AL95&gt;0,$C97,IF(AL95=0,"0"))))</f>
        <v>0</v>
      </c>
    </row>
    <row r="96" spans="1:39" s="96" customFormat="1" ht="13.8" x14ac:dyDescent="0.3">
      <c r="A96" s="427">
        <v>4</v>
      </c>
      <c r="B96" s="292" t="s">
        <v>673</v>
      </c>
      <c r="C96" s="434">
        <v>2</v>
      </c>
      <c r="D96" s="977"/>
      <c r="E96" s="977"/>
      <c r="F96" s="977"/>
      <c r="G96" s="977"/>
      <c r="H96" s="977"/>
      <c r="I96" s="977"/>
      <c r="J96" s="977"/>
      <c r="K96" s="977"/>
      <c r="L96" s="977"/>
      <c r="M96" s="977"/>
      <c r="N96" s="977"/>
      <c r="O96" s="977"/>
      <c r="P96" s="977"/>
      <c r="Q96" s="977"/>
      <c r="R96" s="977"/>
      <c r="S96" s="977"/>
      <c r="T96" s="977"/>
      <c r="U96" s="977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7"/>
      <c r="AG96" s="977"/>
      <c r="AH96" s="977"/>
      <c r="AI96" s="977"/>
      <c r="AJ96" s="977"/>
      <c r="AK96" s="977"/>
      <c r="AL96" s="980"/>
      <c r="AM96" s="980"/>
    </row>
    <row r="97" spans="1:39" s="96" customFormat="1" ht="13.8" x14ac:dyDescent="0.3">
      <c r="A97" s="428"/>
      <c r="B97" s="292" t="s">
        <v>674</v>
      </c>
      <c r="C97" s="434">
        <v>0</v>
      </c>
      <c r="D97" s="978"/>
      <c r="E97" s="978"/>
      <c r="F97" s="978"/>
      <c r="G97" s="978"/>
      <c r="H97" s="978"/>
      <c r="I97" s="978"/>
      <c r="J97" s="978"/>
      <c r="K97" s="978"/>
      <c r="L97" s="978"/>
      <c r="M97" s="978"/>
      <c r="N97" s="978"/>
      <c r="O97" s="978"/>
      <c r="P97" s="978"/>
      <c r="Q97" s="978"/>
      <c r="R97" s="978"/>
      <c r="S97" s="978"/>
      <c r="T97" s="978"/>
      <c r="U97" s="978"/>
      <c r="V97" s="978"/>
      <c r="W97" s="978"/>
      <c r="X97" s="978"/>
      <c r="Y97" s="978"/>
      <c r="Z97" s="978"/>
      <c r="AA97" s="978"/>
      <c r="AB97" s="978"/>
      <c r="AC97" s="978"/>
      <c r="AD97" s="978"/>
      <c r="AE97" s="978"/>
      <c r="AF97" s="978"/>
      <c r="AG97" s="978"/>
      <c r="AH97" s="978"/>
      <c r="AI97" s="978"/>
      <c r="AJ97" s="978"/>
      <c r="AK97" s="978"/>
      <c r="AL97" s="981"/>
      <c r="AM97" s="981"/>
    </row>
    <row r="98" spans="1:39" s="96" customFormat="1" x14ac:dyDescent="0.25">
      <c r="A98" s="425" t="s">
        <v>655</v>
      </c>
      <c r="B98" s="307" t="s">
        <v>659</v>
      </c>
      <c r="C98" s="433">
        <f>A99</f>
        <v>3</v>
      </c>
      <c r="D98" s="424"/>
      <c r="E98" s="424"/>
      <c r="F98" s="424"/>
      <c r="G98" s="424"/>
      <c r="H98" s="979">
        <v>0</v>
      </c>
      <c r="I98" s="979" t="str">
        <f>IF(H98&gt;10,$C98,IF(H98&gt;5,$C99,IF(H98&gt;0,$C100,IF(H98=0,"0"))))</f>
        <v>0</v>
      </c>
      <c r="J98" s="979">
        <v>0</v>
      </c>
      <c r="K98" s="979" t="str">
        <f>IF(J98&gt;10,$C98,IF(J98&gt;5,$C99,IF(J98&gt;0,$C100,IF(J98=0,"0"))))</f>
        <v>0</v>
      </c>
      <c r="L98" s="979">
        <v>0</v>
      </c>
      <c r="M98" s="979" t="str">
        <f>IF(L98&gt;10,$C98,IF(L98&gt;5,$C99,IF(L98&gt;0,$C100,IF(L98=0,"0"))))</f>
        <v>0</v>
      </c>
      <c r="N98" s="979">
        <v>0</v>
      </c>
      <c r="O98" s="979" t="str">
        <f>IF(N98&gt;10,$C98,IF(N98&gt;5,$C99,IF(N98&gt;0,$C100,IF(N98=0,"0"))))</f>
        <v>0</v>
      </c>
      <c r="P98" s="424"/>
      <c r="Q98" s="424"/>
      <c r="R98" s="979">
        <v>0</v>
      </c>
      <c r="S98" s="979" t="str">
        <f>IF(R98&gt;10,$C98,IF(R98&gt;5,$C99,IF(R98&gt;0,$C100,IF(R98=0,"0"))))</f>
        <v>0</v>
      </c>
      <c r="T98" s="979">
        <v>0</v>
      </c>
      <c r="U98" s="979" t="str">
        <f>IF(T98&gt;10,$C98,IF(T98&gt;5,$C99,IF(T98&gt;0,$C100,IF(T98=0,"0"))))</f>
        <v>0</v>
      </c>
      <c r="V98" s="979">
        <v>0</v>
      </c>
      <c r="W98" s="979" t="str">
        <f>IF(V98&gt;10,$C98,IF(V98&gt;5,$C99,IF(V98&gt;0,$C100,IF(V98=0,"0"))))</f>
        <v>0</v>
      </c>
      <c r="X98" s="979">
        <v>8</v>
      </c>
      <c r="Y98" s="979">
        <f>IF(X98&gt;10,$C98,IF(X98&gt;5,$C99,IF(X98&gt;0,$C100,IF(X98=0,"0"))))</f>
        <v>2</v>
      </c>
      <c r="Z98" s="424"/>
      <c r="AA98" s="424"/>
      <c r="AB98" s="979">
        <v>5</v>
      </c>
      <c r="AC98" s="979">
        <f>IF(AB98&gt;10,$C98,IF(AB98&gt;5,$C99,IF(AB98&gt;0,$C100,IF(AB98=0,"0"))))</f>
        <v>1</v>
      </c>
      <c r="AD98" s="979">
        <v>5</v>
      </c>
      <c r="AE98" s="979">
        <f>IF(AD98&gt;10,$C98,IF(AD98&gt;5,$C99,IF(AD98&gt;0,$C100,IF(AD98=0,"0"))))</f>
        <v>1</v>
      </c>
      <c r="AF98" s="979">
        <v>0</v>
      </c>
      <c r="AG98" s="979" t="str">
        <f>IF(AF98&gt;10,$C98,IF(AF98&gt;5,$C99,IF(AF98&gt;0,$C100,IF(AF98=0,"0"))))</f>
        <v>0</v>
      </c>
      <c r="AH98" s="424"/>
      <c r="AI98" s="424"/>
      <c r="AJ98" s="979">
        <v>0</v>
      </c>
      <c r="AK98" s="979" t="str">
        <f>IF(AJ98&gt;10,$C98,IF(AJ98&gt;5,$C99,IF(AJ98&gt;0,$C100,IF(AJ98=0,"0"))))</f>
        <v>0</v>
      </c>
      <c r="AL98" s="424"/>
      <c r="AM98" s="424"/>
    </row>
    <row r="99" spans="1:39" s="96" customFormat="1" x14ac:dyDescent="0.25">
      <c r="A99" s="425">
        <v>3</v>
      </c>
      <c r="B99" s="307" t="s">
        <v>658</v>
      </c>
      <c r="C99" s="433">
        <v>2</v>
      </c>
      <c r="D99" s="424"/>
      <c r="E99" s="424"/>
      <c r="F99" s="424"/>
      <c r="G99" s="424"/>
      <c r="H99" s="980"/>
      <c r="I99" s="980"/>
      <c r="J99" s="980"/>
      <c r="K99" s="980"/>
      <c r="L99" s="980"/>
      <c r="M99" s="980"/>
      <c r="N99" s="980"/>
      <c r="O99" s="980"/>
      <c r="P99" s="424"/>
      <c r="Q99" s="424"/>
      <c r="R99" s="980"/>
      <c r="S99" s="980"/>
      <c r="T99" s="980"/>
      <c r="U99" s="980"/>
      <c r="V99" s="980"/>
      <c r="W99" s="980"/>
      <c r="X99" s="980"/>
      <c r="Y99" s="980"/>
      <c r="Z99" s="424"/>
      <c r="AA99" s="424"/>
      <c r="AB99" s="980"/>
      <c r="AC99" s="980"/>
      <c r="AD99" s="980"/>
      <c r="AE99" s="980"/>
      <c r="AF99" s="980"/>
      <c r="AG99" s="980"/>
      <c r="AH99" s="424"/>
      <c r="AI99" s="424"/>
      <c r="AJ99" s="980"/>
      <c r="AK99" s="980"/>
      <c r="AL99" s="424"/>
      <c r="AM99" s="424"/>
    </row>
    <row r="100" spans="1:39" s="96" customFormat="1" x14ac:dyDescent="0.25">
      <c r="A100" s="425"/>
      <c r="B100" s="307" t="s">
        <v>656</v>
      </c>
      <c r="C100" s="433">
        <v>1</v>
      </c>
      <c r="D100" s="424"/>
      <c r="E100" s="424"/>
      <c r="F100" s="424"/>
      <c r="G100" s="424"/>
      <c r="H100" s="980"/>
      <c r="I100" s="980"/>
      <c r="J100" s="980"/>
      <c r="K100" s="980"/>
      <c r="L100" s="980"/>
      <c r="M100" s="980"/>
      <c r="N100" s="980"/>
      <c r="O100" s="980"/>
      <c r="P100" s="424"/>
      <c r="Q100" s="424"/>
      <c r="R100" s="980"/>
      <c r="S100" s="980"/>
      <c r="T100" s="980"/>
      <c r="U100" s="980"/>
      <c r="V100" s="980"/>
      <c r="W100" s="980"/>
      <c r="X100" s="980"/>
      <c r="Y100" s="980"/>
      <c r="Z100" s="424"/>
      <c r="AA100" s="424"/>
      <c r="AB100" s="980"/>
      <c r="AC100" s="980"/>
      <c r="AD100" s="980"/>
      <c r="AE100" s="980"/>
      <c r="AF100" s="980"/>
      <c r="AG100" s="980"/>
      <c r="AH100" s="424"/>
      <c r="AI100" s="424"/>
      <c r="AJ100" s="980"/>
      <c r="AK100" s="980"/>
      <c r="AL100" s="424"/>
      <c r="AM100" s="424"/>
    </row>
    <row r="101" spans="1:39" s="96" customFormat="1" x14ac:dyDescent="0.25">
      <c r="A101" s="425"/>
      <c r="B101" s="307" t="s">
        <v>657</v>
      </c>
      <c r="C101" s="433">
        <v>0</v>
      </c>
      <c r="D101" s="424"/>
      <c r="E101" s="424"/>
      <c r="F101" s="424"/>
      <c r="G101" s="424"/>
      <c r="H101" s="981"/>
      <c r="I101" s="981"/>
      <c r="J101" s="981"/>
      <c r="K101" s="981"/>
      <c r="L101" s="981"/>
      <c r="M101" s="981"/>
      <c r="N101" s="981"/>
      <c r="O101" s="981"/>
      <c r="P101" s="424"/>
      <c r="Q101" s="424"/>
      <c r="R101" s="981"/>
      <c r="S101" s="981"/>
      <c r="T101" s="981"/>
      <c r="U101" s="981"/>
      <c r="V101" s="981"/>
      <c r="W101" s="981"/>
      <c r="X101" s="981"/>
      <c r="Y101" s="981"/>
      <c r="Z101" s="424"/>
      <c r="AA101" s="424"/>
      <c r="AB101" s="981"/>
      <c r="AC101" s="981"/>
      <c r="AD101" s="981"/>
      <c r="AE101" s="981"/>
      <c r="AF101" s="981"/>
      <c r="AG101" s="981"/>
      <c r="AH101" s="424"/>
      <c r="AI101" s="424"/>
      <c r="AJ101" s="981"/>
      <c r="AK101" s="981"/>
      <c r="AL101" s="424"/>
      <c r="AM101" s="424"/>
    </row>
    <row r="102" spans="1:39" s="96" customFormat="1" x14ac:dyDescent="0.25">
      <c r="A102" s="124" t="s">
        <v>219</v>
      </c>
      <c r="B102" s="288" t="s">
        <v>94</v>
      </c>
      <c r="C102" s="433">
        <v>2</v>
      </c>
      <c r="D102" s="433"/>
      <c r="E102" s="433">
        <f>IF(D102="S",$C102,0)</f>
        <v>0</v>
      </c>
      <c r="F102" s="433"/>
      <c r="G102" s="433">
        <f>IF(F102="S",$C102,0)</f>
        <v>0</v>
      </c>
      <c r="H102" s="114" t="s">
        <v>108</v>
      </c>
      <c r="I102" s="433">
        <f>IF(H102="S",$C102,0)</f>
        <v>2</v>
      </c>
      <c r="J102" s="433" t="s">
        <v>108</v>
      </c>
      <c r="K102" s="433">
        <f>IF(J102="S",$C102,0)</f>
        <v>2</v>
      </c>
      <c r="L102" s="433"/>
      <c r="M102" s="433">
        <f>IF(L102="S",$C102,0)</f>
        <v>0</v>
      </c>
      <c r="N102" s="433"/>
      <c r="O102" s="433">
        <f>IF(N102="S",$C102,0)</f>
        <v>0</v>
      </c>
      <c r="P102" s="433"/>
      <c r="Q102" s="433">
        <f>IF(P102="S",$C102,0)</f>
        <v>0</v>
      </c>
      <c r="R102" s="465" t="s">
        <v>108</v>
      </c>
      <c r="S102" s="433">
        <f>IF(R102="S",$C102,0)</f>
        <v>2</v>
      </c>
      <c r="T102" s="114" t="s">
        <v>108</v>
      </c>
      <c r="U102" s="433">
        <f>IF(T102="S",$C102,0)</f>
        <v>2</v>
      </c>
      <c r="V102" s="461" t="s">
        <v>108</v>
      </c>
      <c r="W102" s="433">
        <f>IF(V102="S",$C102,0)</f>
        <v>2</v>
      </c>
      <c r="X102" s="953" t="s">
        <v>108</v>
      </c>
      <c r="Y102" s="433">
        <f>IF(X102="S",$C102,0)</f>
        <v>2</v>
      </c>
      <c r="Z102" s="433"/>
      <c r="AA102" s="433">
        <f>IF(Z102="S",$C102,0)</f>
        <v>0</v>
      </c>
      <c r="AB102" s="114" t="s">
        <v>108</v>
      </c>
      <c r="AC102" s="433">
        <f>IF(AB102="S",$C102,0)</f>
        <v>2</v>
      </c>
      <c r="AD102" s="433"/>
      <c r="AE102" s="433">
        <f>IF(AD102="S",$C102,0)</f>
        <v>0</v>
      </c>
      <c r="AF102" s="433"/>
      <c r="AG102" s="433">
        <f>IF(AF102="S",$C102,0)</f>
        <v>0</v>
      </c>
      <c r="AH102" s="433"/>
      <c r="AI102" s="433">
        <f>IF(AH102="S",$C102,0)</f>
        <v>0</v>
      </c>
      <c r="AJ102" s="461" t="s">
        <v>108</v>
      </c>
      <c r="AK102" s="433">
        <f>IF(AJ102="S",$C102,0)</f>
        <v>2</v>
      </c>
      <c r="AL102" s="76"/>
      <c r="AM102" s="76">
        <f>IF(AL102="S",$C102,0)</f>
        <v>0</v>
      </c>
    </row>
    <row r="103" spans="1:39" s="96" customFormat="1" x14ac:dyDescent="0.25">
      <c r="A103" s="426">
        <v>2</v>
      </c>
      <c r="B103" s="288" t="s">
        <v>93</v>
      </c>
      <c r="C103" s="433">
        <v>0</v>
      </c>
      <c r="D103" s="433"/>
      <c r="E103" s="433">
        <f>IF(D103="S",$C103,0)</f>
        <v>0</v>
      </c>
      <c r="F103" s="433"/>
      <c r="G103" s="433">
        <f>IF(F103="S",$C103,0)</f>
        <v>0</v>
      </c>
      <c r="H103" s="433"/>
      <c r="I103" s="433">
        <f>IF(H103="S",$C103,0)</f>
        <v>0</v>
      </c>
      <c r="J103" s="433"/>
      <c r="K103" s="433">
        <f>IF(J103="S",$C103,0)</f>
        <v>0</v>
      </c>
      <c r="L103" s="433" t="s">
        <v>108</v>
      </c>
      <c r="M103" s="433">
        <f>IF(L103="S",$C103,0)</f>
        <v>0</v>
      </c>
      <c r="N103" s="114" t="s">
        <v>666</v>
      </c>
      <c r="O103" s="433">
        <f>IF(N103="S",$C103,0)</f>
        <v>0</v>
      </c>
      <c r="P103" s="433"/>
      <c r="Q103" s="433">
        <f>IF(P103="S",$C103,0)</f>
        <v>0</v>
      </c>
      <c r="R103" s="433"/>
      <c r="S103" s="433">
        <f>IF(R103="S",$C103,0)</f>
        <v>0</v>
      </c>
      <c r="T103" s="433"/>
      <c r="U103" s="433">
        <f>IF(T103="S",$C103,0)</f>
        <v>0</v>
      </c>
      <c r="V103" s="433"/>
      <c r="W103" s="433">
        <f>IF(V103="S",$C103,0)</f>
        <v>0</v>
      </c>
      <c r="X103" s="433"/>
      <c r="Y103" s="433">
        <f>IF(X103="S",$C103,0)</f>
        <v>0</v>
      </c>
      <c r="Z103" s="433"/>
      <c r="AA103" s="433">
        <f>IF(Z103="S",$C103,0)</f>
        <v>0</v>
      </c>
      <c r="AB103" s="433"/>
      <c r="AC103" s="433">
        <f>IF(AB103="S",$C103,0)</f>
        <v>0</v>
      </c>
      <c r="AD103" s="433"/>
      <c r="AE103" s="433">
        <f>IF(AD103="S",$C103,0)</f>
        <v>0</v>
      </c>
      <c r="AF103" s="433"/>
      <c r="AG103" s="433">
        <f>IF(AF103="S",$C103,0)</f>
        <v>0</v>
      </c>
      <c r="AH103" s="433"/>
      <c r="AI103" s="433">
        <f>IF(AH103="S",$C103,0)</f>
        <v>0</v>
      </c>
      <c r="AJ103" s="433"/>
      <c r="AK103" s="433">
        <f>IF(AJ103="S",$C103,0)</f>
        <v>0</v>
      </c>
      <c r="AL103" s="76"/>
      <c r="AM103" s="76">
        <f>IF(AL103="S",$C103,0)</f>
        <v>0</v>
      </c>
    </row>
    <row r="104" spans="1:39" s="96" customFormat="1" x14ac:dyDescent="0.25">
      <c r="A104" s="96">
        <f>A70+A73+A76+A79+A82+A93+A85+A87+A89+A91+A96+A103+A99</f>
        <v>45</v>
      </c>
      <c r="C104" s="83"/>
      <c r="D104" s="83"/>
      <c r="E104" s="83" t="e">
        <f>#REF!+#REF!+#REF!+#REF!+#REF!+#REF!+#REF!+#REF!+#REF!+#REF!+#REF!</f>
        <v>#REF!</v>
      </c>
      <c r="F104" s="83"/>
      <c r="G104" s="83" t="e">
        <f>#REF!+#REF!+#REF!+#REF!+#REF!+#REF!+#REF!+#REF!+#REF!+#REF!+#REF!</f>
        <v>#REF!</v>
      </c>
      <c r="H104" s="83"/>
      <c r="I104" s="83">
        <f>SUM(I69:I103)</f>
        <v>33</v>
      </c>
      <c r="J104" s="83"/>
      <c r="K104" s="83">
        <f>SUM(K69:K103)</f>
        <v>20</v>
      </c>
      <c r="L104" s="83"/>
      <c r="M104" s="83">
        <f>SUM(M69:M103)</f>
        <v>22</v>
      </c>
      <c r="N104" s="83"/>
      <c r="O104" s="83">
        <f>SUM(O69:O103)</f>
        <v>22</v>
      </c>
      <c r="P104" s="83"/>
      <c r="Q104" s="83" t="e">
        <f>#REF!+#REF!+#REF!+#REF!+#REF!+#REF!+#REF!+#REF!+#REF!+#REF!+#REF!</f>
        <v>#REF!</v>
      </c>
      <c r="R104" s="83"/>
      <c r="S104" s="83">
        <f>SUM(S69:S103)</f>
        <v>8</v>
      </c>
      <c r="U104" s="83">
        <f>SUM(U69:U103)</f>
        <v>32</v>
      </c>
      <c r="W104" s="83">
        <f>SUM(W69:W103)</f>
        <v>32</v>
      </c>
      <c r="Y104" s="83">
        <f>SUM(Y69:Y103)</f>
        <v>30</v>
      </c>
      <c r="AC104" s="83">
        <f>SUM(AC69:AC103)</f>
        <v>27</v>
      </c>
      <c r="AE104" s="83">
        <f>SUM(AE69:AE103)</f>
        <v>25</v>
      </c>
      <c r="AG104" s="83">
        <f>SUM(AG69:AG103)</f>
        <v>22</v>
      </c>
      <c r="AK104" s="83">
        <f>SUM(AK69:AK103)</f>
        <v>20</v>
      </c>
    </row>
    <row r="105" spans="1:39" s="96" customFormat="1" x14ac:dyDescent="0.25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1"/>
    </row>
    <row r="106" spans="1:39" s="96" customFormat="1" ht="65.25" customHeight="1" x14ac:dyDescent="0.25">
      <c r="A106" s="93" t="s">
        <v>5</v>
      </c>
      <c r="B106" s="93" t="s">
        <v>6</v>
      </c>
      <c r="C106" s="74"/>
      <c r="D106" s="1035" t="str">
        <f>Empresas!$A$30</f>
        <v>ALECOP S. COOP.</v>
      </c>
      <c r="E106" s="1036"/>
      <c r="F106" s="1035" t="str">
        <f>Empresas!$A$31</f>
        <v>ANDALUZA DE PAPELERIA (OFIPAPEL)</v>
      </c>
      <c r="G106" s="1036"/>
      <c r="H106" s="1035" t="str">
        <f>Empresas!$A$32</f>
        <v>BALIPE SUMINISTROS E INSTALACIONES</v>
      </c>
      <c r="I106" s="1036"/>
      <c r="J106" s="1035" t="str">
        <f>Empresas!$A$33</f>
        <v>COMERCIAL DE INDUSTRIAS REUNIDAS</v>
      </c>
      <c r="K106" s="1036"/>
      <c r="L106" s="1035" t="str">
        <f>Empresas!$A$34</f>
        <v>EDUARDO BALLESTEROS S.L</v>
      </c>
      <c r="M106" s="1036"/>
      <c r="N106" s="1035" t="str">
        <f>Empresas!$A$35</f>
        <v>EL CORTE INGLÉS</v>
      </c>
      <c r="O106" s="1036"/>
      <c r="P106" s="1035" t="str">
        <f>Empresas!$A$36</f>
        <v>ESQUITINO</v>
      </c>
      <c r="Q106" s="1036"/>
      <c r="R106" s="1035" t="str">
        <f>Empresas!$A$37</f>
        <v>GRUPO KAT</v>
      </c>
      <c r="S106" s="1036"/>
      <c r="T106" s="1035" t="str">
        <f>Empresas!$A$38</f>
        <v>LAUSAN</v>
      </c>
      <c r="U106" s="1036"/>
      <c r="V106" s="1035" t="str">
        <f>Empresas!$A$39</f>
        <v>MELCO</v>
      </c>
      <c r="W106" s="1036"/>
      <c r="X106" s="1035" t="str">
        <f>Empresas!$A$40</f>
        <v>MOFISER S.L</v>
      </c>
      <c r="Y106" s="1036"/>
      <c r="Z106" s="1035" t="str">
        <f>Empresas!$A$41</f>
        <v>MOGAR</v>
      </c>
      <c r="AA106" s="1036"/>
      <c r="AB106" s="1035" t="str">
        <f>Empresas!$A$42</f>
        <v>MUEBLES TINAS</v>
      </c>
      <c r="AC106" s="1036"/>
      <c r="AD106" s="1035" t="str">
        <f>Empresas!$A$43</f>
        <v>OFINET</v>
      </c>
      <c r="AE106" s="1036"/>
      <c r="AF106" s="1035" t="str">
        <f>Empresas!$A$44</f>
        <v>OFITA INTERIORES (JOCAFRI)</v>
      </c>
      <c r="AG106" s="1036"/>
      <c r="AH106" s="1035" t="str">
        <f>Empresas!$A$45</f>
        <v>PAPELERÍA COLÓN</v>
      </c>
      <c r="AI106" s="1036"/>
      <c r="AJ106" s="1035" t="str">
        <f>Empresas!$A$46</f>
        <v>RUIZ COLLADO</v>
      </c>
      <c r="AK106" s="1036"/>
      <c r="AL106" s="1035" t="str">
        <f>Empresas!$A$47</f>
        <v>SERVITEC</v>
      </c>
      <c r="AM106" s="1036"/>
    </row>
    <row r="107" spans="1:39" s="96" customFormat="1" x14ac:dyDescent="0.25">
      <c r="A107" s="269" t="s">
        <v>91</v>
      </c>
      <c r="B107" s="85" t="s">
        <v>92</v>
      </c>
      <c r="C107" s="65"/>
      <c r="D107" s="65"/>
      <c r="E107" s="65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65"/>
      <c r="S107" s="65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65"/>
      <c r="AG107" s="65"/>
      <c r="AH107" s="184"/>
      <c r="AI107" s="184"/>
      <c r="AJ107" s="184"/>
      <c r="AK107" s="184"/>
      <c r="AL107" s="65"/>
      <c r="AM107" s="65"/>
    </row>
    <row r="108" spans="1:39" s="96" customFormat="1" x14ac:dyDescent="0.25">
      <c r="A108" s="120" t="s">
        <v>193</v>
      </c>
      <c r="B108" s="119" t="s">
        <v>195</v>
      </c>
      <c r="C108" s="23">
        <f>A109</f>
        <v>3</v>
      </c>
      <c r="D108" s="23"/>
      <c r="E108" s="23">
        <f>IF(D108="S",$C108,0)</f>
        <v>0</v>
      </c>
      <c r="F108" s="182"/>
      <c r="G108" s="182">
        <f>IF(F108="S",$C108,0)</f>
        <v>0</v>
      </c>
      <c r="H108" s="182"/>
      <c r="I108" s="182">
        <f>IF(H108="S",$C108,0)</f>
        <v>0</v>
      </c>
      <c r="J108" s="183" t="s">
        <v>108</v>
      </c>
      <c r="K108" s="182">
        <f>IF(J108="S",$C108,0)</f>
        <v>3</v>
      </c>
      <c r="L108" s="183"/>
      <c r="M108" s="182">
        <f>IF(L108="S",$C108,0)</f>
        <v>0</v>
      </c>
      <c r="N108" s="183"/>
      <c r="O108" s="182">
        <f>IF(N108="S",$C108,0)</f>
        <v>0</v>
      </c>
      <c r="P108" s="183"/>
      <c r="Q108" s="182">
        <f>IF(P108="S",$C108,0)</f>
        <v>0</v>
      </c>
      <c r="R108" s="86" t="s">
        <v>108</v>
      </c>
      <c r="S108" s="23">
        <f>IF(R108="S",$C108,0)</f>
        <v>3</v>
      </c>
      <c r="T108" s="182"/>
      <c r="U108" s="182">
        <f>IF(T108="S",$C108,0)</f>
        <v>0</v>
      </c>
      <c r="V108" s="182"/>
      <c r="W108" s="182">
        <f>IF(V108="S",$C108,0)</f>
        <v>0</v>
      </c>
      <c r="X108" s="183"/>
      <c r="Y108" s="182">
        <f>IF(X108="S",$C108,0)</f>
        <v>0</v>
      </c>
      <c r="Z108" s="183"/>
      <c r="AA108" s="182">
        <f>IF(Z108="S",$C108,0)</f>
        <v>0</v>
      </c>
      <c r="AB108" s="183"/>
      <c r="AC108" s="182">
        <f>IF(AB108="S",$C108,0)</f>
        <v>0</v>
      </c>
      <c r="AD108" s="183"/>
      <c r="AE108" s="182">
        <f>IF(AD108="S",$C108,0)</f>
        <v>0</v>
      </c>
      <c r="AF108" s="86"/>
      <c r="AG108" s="116">
        <f>IF(AF108="S",$C108,0)</f>
        <v>0</v>
      </c>
      <c r="AH108" s="183"/>
      <c r="AI108" s="182">
        <f>IF(AH108="S",$C108,0)</f>
        <v>0</v>
      </c>
      <c r="AJ108" s="183"/>
      <c r="AK108" s="182">
        <f>IF(AJ108="S",$C108,0)</f>
        <v>0</v>
      </c>
      <c r="AL108" s="86"/>
      <c r="AM108" s="116">
        <f>IF(AL108="S",$C108,0)</f>
        <v>0</v>
      </c>
    </row>
    <row r="109" spans="1:39" s="96" customFormat="1" x14ac:dyDescent="0.25">
      <c r="A109" s="457">
        <v>3</v>
      </c>
      <c r="B109" s="67" t="s">
        <v>95</v>
      </c>
      <c r="C109" s="23">
        <v>2</v>
      </c>
      <c r="D109" s="23"/>
      <c r="E109" s="23">
        <f>IF(D109="S",$C109,0)</f>
        <v>0</v>
      </c>
      <c r="F109" s="182"/>
      <c r="G109" s="182">
        <f>IF(F109="S",$C109,0)</f>
        <v>0</v>
      </c>
      <c r="H109" s="355" t="s">
        <v>108</v>
      </c>
      <c r="I109" s="182">
        <f>IF(H109="S",$C109,0)</f>
        <v>2</v>
      </c>
      <c r="J109" s="183"/>
      <c r="K109" s="182">
        <f>IF(J109="S",$C109,0)</f>
        <v>0</v>
      </c>
      <c r="L109" s="183" t="s">
        <v>108</v>
      </c>
      <c r="M109" s="182">
        <f>IF(L109="S",$C109,0)</f>
        <v>2</v>
      </c>
      <c r="N109" s="183" t="s">
        <v>108</v>
      </c>
      <c r="O109" s="182">
        <f>IF(N109="S",$C109,0)</f>
        <v>2</v>
      </c>
      <c r="P109" s="183"/>
      <c r="Q109" s="182">
        <f>IF(P109="S",$C109,0)</f>
        <v>0</v>
      </c>
      <c r="R109" s="86"/>
      <c r="S109" s="23">
        <f>IF(R109="S",$C109,0)</f>
        <v>0</v>
      </c>
      <c r="T109" s="434" t="s">
        <v>108</v>
      </c>
      <c r="U109" s="182">
        <f>IF(T109="S",$C109,0)</f>
        <v>2</v>
      </c>
      <c r="V109" s="462" t="s">
        <v>108</v>
      </c>
      <c r="W109" s="182">
        <f>IF(V109="S",$C109,0)</f>
        <v>2</v>
      </c>
      <c r="X109" s="183" t="s">
        <v>108</v>
      </c>
      <c r="Y109" s="182">
        <f>IF(X109="S",$C109,0)</f>
        <v>2</v>
      </c>
      <c r="Z109" s="183"/>
      <c r="AA109" s="182">
        <f>IF(Z109="S",$C109,0)</f>
        <v>0</v>
      </c>
      <c r="AB109" s="183" t="s">
        <v>108</v>
      </c>
      <c r="AC109" s="182">
        <f>IF(AB109="S",$C109,0)</f>
        <v>2</v>
      </c>
      <c r="AD109" s="183" t="s">
        <v>108</v>
      </c>
      <c r="AE109" s="182">
        <f>IF(AD109="S",$C109,0)</f>
        <v>2</v>
      </c>
      <c r="AF109" s="86" t="s">
        <v>108</v>
      </c>
      <c r="AG109" s="116">
        <f>IF(AF109="S",$C109,0)</f>
        <v>2</v>
      </c>
      <c r="AH109" s="183"/>
      <c r="AI109" s="182">
        <f>IF(AH109="S",$C109,0)</f>
        <v>0</v>
      </c>
      <c r="AJ109" s="183" t="s">
        <v>108</v>
      </c>
      <c r="AK109" s="182">
        <f>IF(AJ109="S",$C109,0)</f>
        <v>2</v>
      </c>
      <c r="AL109" s="86"/>
      <c r="AM109" s="116">
        <f>IF(AL109="S",$C109,0)</f>
        <v>0</v>
      </c>
    </row>
    <row r="110" spans="1:39" s="96" customFormat="1" x14ac:dyDescent="0.25">
      <c r="A110" s="458"/>
      <c r="B110" s="67" t="s">
        <v>196</v>
      </c>
      <c r="C110" s="23">
        <v>0</v>
      </c>
      <c r="D110" s="23"/>
      <c r="E110" s="23">
        <f>IF(D110="S",$C110,0)</f>
        <v>0</v>
      </c>
      <c r="F110" s="182"/>
      <c r="G110" s="182">
        <f>IF(F110="S",$C110,0)</f>
        <v>0</v>
      </c>
      <c r="H110" s="182"/>
      <c r="I110" s="182">
        <f>IF(H110="S",$C110,0)</f>
        <v>0</v>
      </c>
      <c r="J110" s="183"/>
      <c r="K110" s="182">
        <f>IF(J110="S",$C110,0)</f>
        <v>0</v>
      </c>
      <c r="L110" s="183"/>
      <c r="M110" s="182">
        <f>IF(L110="S",$C110,0)</f>
        <v>0</v>
      </c>
      <c r="N110" s="183"/>
      <c r="O110" s="182">
        <f>IF(N110="S",$C110,0)</f>
        <v>0</v>
      </c>
      <c r="P110" s="183"/>
      <c r="Q110" s="182">
        <f>IF(P110="S",$C110,0)</f>
        <v>0</v>
      </c>
      <c r="R110" s="86"/>
      <c r="S110" s="23">
        <f>IF(R110="S",$C110,0)</f>
        <v>0</v>
      </c>
      <c r="T110" s="182"/>
      <c r="U110" s="182">
        <f>IF(T110="S",$C110,0)</f>
        <v>0</v>
      </c>
      <c r="V110" s="182"/>
      <c r="W110" s="182">
        <f>IF(V110="S",$C110,0)</f>
        <v>0</v>
      </c>
      <c r="X110" s="183"/>
      <c r="Y110" s="182">
        <f>IF(X110="S",$C110,0)</f>
        <v>0</v>
      </c>
      <c r="Z110" s="183"/>
      <c r="AA110" s="182">
        <f>IF(Z110="S",$C110,0)</f>
        <v>0</v>
      </c>
      <c r="AB110" s="183"/>
      <c r="AC110" s="182">
        <f>IF(AB110="S",$C110,0)</f>
        <v>0</v>
      </c>
      <c r="AD110" s="183"/>
      <c r="AE110" s="182">
        <f>IF(AD110="S",$C110,0)</f>
        <v>0</v>
      </c>
      <c r="AF110" s="86"/>
      <c r="AG110" s="116">
        <f>IF(AF110="S",$C110,0)</f>
        <v>0</v>
      </c>
      <c r="AH110" s="183"/>
      <c r="AI110" s="182">
        <f>IF(AH110="S",$C110,0)</f>
        <v>0</v>
      </c>
      <c r="AJ110" s="183"/>
      <c r="AK110" s="182">
        <f>IF(AJ110="S",$C110,0)</f>
        <v>0</v>
      </c>
      <c r="AL110" s="86"/>
      <c r="AM110" s="116">
        <f>IF(AL110="S",$C110,0)</f>
        <v>0</v>
      </c>
    </row>
    <row r="111" spans="1:39" s="96" customFormat="1" x14ac:dyDescent="0.25">
      <c r="A111" s="123" t="s">
        <v>211</v>
      </c>
      <c r="B111" s="110" t="s">
        <v>213</v>
      </c>
      <c r="C111" s="76">
        <f>A112</f>
        <v>3</v>
      </c>
      <c r="D111" s="979"/>
      <c r="E111" s="979" t="str">
        <f>IF(D111&gt;2.9,$C111,IF(D111&gt;1.4,$C112,IF(D111&gt;0,$C113,IF(D111=0,"0"))))</f>
        <v>0</v>
      </c>
      <c r="F111" s="979"/>
      <c r="G111" s="979" t="str">
        <f>IF(F111&gt;2.9,$C111,IF(F111&gt;1.4,$C112,IF(F111&gt;0,$C113,IF(F111=0,"0"))))</f>
        <v>0</v>
      </c>
      <c r="H111" s="979">
        <v>2.5</v>
      </c>
      <c r="I111" s="979">
        <f>IF(H111&gt;2.9,$C111,IF(H111&gt;1.9,$C112,IF(H111&gt;0,$C113,IF(H111=0,"0"))))</f>
        <v>2</v>
      </c>
      <c r="J111" s="979">
        <v>1.5</v>
      </c>
      <c r="K111" s="979">
        <f>IF(J111&gt;2.9,$C111,IF(J111&gt;1.9,$C112,IF(J111&gt;0,$C113,IF(J111=0,"0"))))</f>
        <v>0</v>
      </c>
      <c r="L111" s="979">
        <v>1.8</v>
      </c>
      <c r="M111" s="979">
        <f>IF(L111&gt;2.9,$C111,IF(L111&gt;1.9,$C112,IF(L111&gt;0,$C113,IF(L111=0,"0"))))</f>
        <v>0</v>
      </c>
      <c r="N111" s="979">
        <v>1.8</v>
      </c>
      <c r="O111" s="979">
        <f>IF(N111&gt;2.9,$C111,IF(N111&gt;1.9,$C112,IF(N111&gt;0,$C113,IF(N111=0,"0"))))</f>
        <v>0</v>
      </c>
      <c r="P111" s="979"/>
      <c r="Q111" s="979" t="str">
        <f>IF(P111&gt;2.9,$C111,IF(P111&gt;1.4,$C112,IF(P111&gt;0,$C113,IF(P111=0,"0"))))</f>
        <v>0</v>
      </c>
      <c r="R111" s="979">
        <v>1.5</v>
      </c>
      <c r="S111" s="979">
        <f>IF(R111&gt;2.9,$C111,IF(R111&gt;1.9,$C112,IF(R111&gt;0,$C113,IF(R111=0,"0"))))</f>
        <v>0</v>
      </c>
      <c r="T111" s="979">
        <v>2.5</v>
      </c>
      <c r="U111" s="979">
        <f>IF(T111&gt;2.9,$C111,IF(T111&gt;1.9,$C112,IF(T111&gt;0,$C113,IF(T111=0,"0"))))</f>
        <v>2</v>
      </c>
      <c r="V111" s="979">
        <v>2</v>
      </c>
      <c r="W111" s="979">
        <f>IF(V111&gt;2.9,$C111,IF(V111&gt;1.9,$C112,IF(V111&gt;0,$C113,IF(V111=0,"0"))))</f>
        <v>2</v>
      </c>
      <c r="X111" s="979">
        <v>2.5</v>
      </c>
      <c r="Y111" s="979">
        <f>IF(X111&gt;2.9,$C111,IF(X111&gt;1.9,$C112,IF(X111&gt;0,$C113,IF(X111=0,"0"))))</f>
        <v>2</v>
      </c>
      <c r="Z111" s="979"/>
      <c r="AA111" s="979" t="str">
        <f>IF(Z111&gt;2.9,$C111,IF(Z111&gt;1.4,$C112,IF(Z111&gt;0,$C113,IF(Z111=0,"0"))))</f>
        <v>0</v>
      </c>
      <c r="AB111" s="979">
        <v>2.5</v>
      </c>
      <c r="AC111" s="979">
        <f>IF(AB111&gt;2.9,$C111,IF(AB111&gt;1.9,$C112,IF(AB111&gt;0,$C113,IF(AB111=0,"0"))))</f>
        <v>2</v>
      </c>
      <c r="AD111" s="979">
        <v>1.54</v>
      </c>
      <c r="AE111" s="979">
        <f>IF(AD111&gt;2.9,$C111,IF(AD111&gt;1.9,$C112,IF(AD111&gt;0,$C113,IF(AD111=0,"0"))))</f>
        <v>0</v>
      </c>
      <c r="AF111" s="979">
        <v>2.5</v>
      </c>
      <c r="AG111" s="979">
        <f>IF(AF111&gt;2.9,$C111,IF(AF111&gt;1.9,$C112,IF(AF111&gt;0,$C113,IF(AF111=0,"0"))))</f>
        <v>2</v>
      </c>
      <c r="AH111" s="979"/>
      <c r="AI111" s="979" t="str">
        <f>IF(AH111&gt;2.9,$C111,IF(AH111&gt;1.4,$C112,IF(AH111&gt;0,$C113,IF(AH111=0,"0"))))</f>
        <v>0</v>
      </c>
      <c r="AJ111" s="979">
        <v>2</v>
      </c>
      <c r="AK111" s="979">
        <f>IF(AJ111&gt;2.9,$C111,IF(AJ111&gt;1.9,$C112,IF(AJ111&gt;0,$C113,IF(AJ111=0,"0"))))</f>
        <v>2</v>
      </c>
      <c r="AL111" s="979"/>
      <c r="AM111" s="979" t="str">
        <f>IF(AL111&gt;2.9,$C111,IF(AL111&gt;1.4,$C112,IF(AL111&gt;0,$C113,IF(AL111=0,"0"))))</f>
        <v>0</v>
      </c>
    </row>
    <row r="112" spans="1:39" s="96" customFormat="1" x14ac:dyDescent="0.25">
      <c r="A112" s="69">
        <v>3</v>
      </c>
      <c r="B112" s="266" t="s">
        <v>672</v>
      </c>
      <c r="C112" s="76">
        <v>2</v>
      </c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0"/>
      <c r="AD112" s="980"/>
      <c r="AE112" s="980"/>
      <c r="AF112" s="980"/>
      <c r="AG112" s="980"/>
      <c r="AH112" s="980"/>
      <c r="AI112" s="980"/>
      <c r="AJ112" s="980"/>
      <c r="AK112" s="980"/>
      <c r="AL112" s="980"/>
      <c r="AM112" s="980"/>
    </row>
    <row r="113" spans="1:39" s="96" customFormat="1" x14ac:dyDescent="0.25">
      <c r="A113" s="70"/>
      <c r="B113" s="266" t="s">
        <v>671</v>
      </c>
      <c r="C113" s="76">
        <v>0</v>
      </c>
      <c r="D113" s="981"/>
      <c r="E113" s="981"/>
      <c r="F113" s="981"/>
      <c r="G113" s="981"/>
      <c r="H113" s="981"/>
      <c r="I113" s="981"/>
      <c r="J113" s="981"/>
      <c r="K113" s="981"/>
      <c r="L113" s="981"/>
      <c r="M113" s="981"/>
      <c r="N113" s="981"/>
      <c r="O113" s="981"/>
      <c r="P113" s="981"/>
      <c r="Q113" s="981"/>
      <c r="R113" s="981"/>
      <c r="S113" s="981"/>
      <c r="T113" s="981"/>
      <c r="U113" s="981"/>
      <c r="V113" s="981"/>
      <c r="W113" s="981"/>
      <c r="X113" s="981"/>
      <c r="Y113" s="981"/>
      <c r="Z113" s="981"/>
      <c r="AA113" s="981"/>
      <c r="AB113" s="981"/>
      <c r="AC113" s="981"/>
      <c r="AD113" s="981"/>
      <c r="AE113" s="981"/>
      <c r="AF113" s="981"/>
      <c r="AG113" s="981"/>
      <c r="AH113" s="981"/>
      <c r="AI113" s="981"/>
      <c r="AJ113" s="981"/>
      <c r="AK113" s="981"/>
      <c r="AL113" s="981"/>
      <c r="AM113" s="981"/>
    </row>
    <row r="114" spans="1:39" s="96" customFormat="1" x14ac:dyDescent="0.25">
      <c r="A114" s="120" t="s">
        <v>194</v>
      </c>
      <c r="B114" s="119" t="s">
        <v>195</v>
      </c>
      <c r="C114" s="23">
        <f>A115</f>
        <v>3</v>
      </c>
      <c r="D114" s="23"/>
      <c r="E114" s="23">
        <f>IF(D114="S",$C114,0)</f>
        <v>0</v>
      </c>
      <c r="F114" s="182"/>
      <c r="G114" s="182">
        <f>IF(F114="S",$C114,0)</f>
        <v>0</v>
      </c>
      <c r="H114" s="182"/>
      <c r="I114" s="182">
        <f>IF(H114="S",$C114,0)</f>
        <v>0</v>
      </c>
      <c r="J114" s="183" t="s">
        <v>108</v>
      </c>
      <c r="K114" s="182">
        <f>IF(J114="S",$C114,0)</f>
        <v>3</v>
      </c>
      <c r="L114" s="182"/>
      <c r="M114" s="182">
        <f>IF(L114="S",$C114,0)</f>
        <v>0</v>
      </c>
      <c r="N114" s="412"/>
      <c r="O114" s="182">
        <f>IF(N114="S",$C114,0)</f>
        <v>0</v>
      </c>
      <c r="P114" s="183"/>
      <c r="Q114" s="182">
        <f>IF(P114="S",$C114,0)</f>
        <v>0</v>
      </c>
      <c r="R114" s="86" t="s">
        <v>108</v>
      </c>
      <c r="S114" s="23">
        <f>IF(R114="S",$C114,0)</f>
        <v>3</v>
      </c>
      <c r="T114" s="182"/>
      <c r="U114" s="182">
        <f>IF(T114="S",$C114,0)</f>
        <v>0</v>
      </c>
      <c r="V114" s="182"/>
      <c r="W114" s="182">
        <f>IF(V114="S",$C114,0)</f>
        <v>0</v>
      </c>
      <c r="X114" s="183"/>
      <c r="Y114" s="182">
        <f>IF(X114="S",$C114,0)</f>
        <v>0</v>
      </c>
      <c r="Z114" s="182"/>
      <c r="AA114" s="182">
        <f>IF(Z114="S",$C114,0)</f>
        <v>0</v>
      </c>
      <c r="AB114" s="183"/>
      <c r="AC114" s="182">
        <f>IF(AB114="S",$C114,0)</f>
        <v>0</v>
      </c>
      <c r="AD114" s="183"/>
      <c r="AE114" s="182">
        <f>IF(AD114="S",$C114,0)</f>
        <v>0</v>
      </c>
      <c r="AF114" s="86"/>
      <c r="AG114" s="116">
        <f>IF(AF114="S",$C114,0)</f>
        <v>0</v>
      </c>
      <c r="AH114" s="183"/>
      <c r="AI114" s="182">
        <f>IF(AH114="S",$C114,0)</f>
        <v>0</v>
      </c>
      <c r="AJ114" s="183"/>
      <c r="AK114" s="182">
        <f>IF(AJ114="S",$C114,0)</f>
        <v>0</v>
      </c>
      <c r="AL114" s="86"/>
      <c r="AM114" s="116">
        <f>IF(AL114="S",$C114,0)</f>
        <v>0</v>
      </c>
    </row>
    <row r="115" spans="1:39" s="96" customFormat="1" x14ac:dyDescent="0.25">
      <c r="A115" s="457">
        <v>3</v>
      </c>
      <c r="B115" s="119" t="s">
        <v>95</v>
      </c>
      <c r="C115" s="23">
        <v>2</v>
      </c>
      <c r="D115" s="23"/>
      <c r="E115" s="23">
        <f>IF(D115="S",$C115,0)</f>
        <v>0</v>
      </c>
      <c r="F115" s="182"/>
      <c r="G115" s="182">
        <f>IF(F115="S",$C115,0)</f>
        <v>0</v>
      </c>
      <c r="H115" s="355" t="s">
        <v>108</v>
      </c>
      <c r="I115" s="182">
        <f>IF(H115="S",$C115,0)</f>
        <v>2</v>
      </c>
      <c r="J115" s="183"/>
      <c r="K115" s="182">
        <f>IF(J115="S",$C115,0)</f>
        <v>0</v>
      </c>
      <c r="L115" s="412" t="s">
        <v>108</v>
      </c>
      <c r="M115" s="182">
        <f>IF(L115="S",$C115,0)</f>
        <v>2</v>
      </c>
      <c r="N115" s="412" t="s">
        <v>108</v>
      </c>
      <c r="O115" s="182">
        <f>IF(N115="S",$C115,0)</f>
        <v>2</v>
      </c>
      <c r="P115" s="183"/>
      <c r="Q115" s="182">
        <f>IF(P115="S",$C115,0)</f>
        <v>0</v>
      </c>
      <c r="R115" s="86"/>
      <c r="S115" s="23">
        <f>IF(R115="S",$C115,0)</f>
        <v>0</v>
      </c>
      <c r="T115" s="434" t="s">
        <v>108</v>
      </c>
      <c r="U115" s="182">
        <f>IF(T115="S",$C115,0)</f>
        <v>2</v>
      </c>
      <c r="V115" s="462" t="s">
        <v>108</v>
      </c>
      <c r="W115" s="182">
        <f>IF(V115="S",$C115,0)</f>
        <v>2</v>
      </c>
      <c r="X115" s="183" t="s">
        <v>108</v>
      </c>
      <c r="Y115" s="182">
        <f>IF(X115="S",$C115,0)</f>
        <v>2</v>
      </c>
      <c r="Z115" s="182"/>
      <c r="AA115" s="182">
        <f>IF(Z115="S",$C115,0)</f>
        <v>0</v>
      </c>
      <c r="AB115" s="449" t="s">
        <v>666</v>
      </c>
      <c r="AC115" s="182">
        <f>IF(AB115="S",$C115,0)</f>
        <v>2</v>
      </c>
      <c r="AD115" s="183" t="s">
        <v>108</v>
      </c>
      <c r="AE115" s="182">
        <f>IF(AD115="S",$C115,0)</f>
        <v>2</v>
      </c>
      <c r="AF115" s="86" t="s">
        <v>108</v>
      </c>
      <c r="AG115" s="116">
        <f>IF(AF115="S",$C115,0)</f>
        <v>2</v>
      </c>
      <c r="AH115" s="183"/>
      <c r="AI115" s="182">
        <f>IF(AH115="S",$C115,0)</f>
        <v>0</v>
      </c>
      <c r="AJ115" s="183" t="s">
        <v>108</v>
      </c>
      <c r="AK115" s="182">
        <f>IF(AJ115="S",$C115,0)</f>
        <v>2</v>
      </c>
      <c r="AL115" s="86"/>
      <c r="AM115" s="116">
        <f>IF(AL115="S",$C115,0)</f>
        <v>0</v>
      </c>
    </row>
    <row r="116" spans="1:39" s="96" customFormat="1" x14ac:dyDescent="0.25">
      <c r="A116" s="458"/>
      <c r="B116" s="119" t="s">
        <v>196</v>
      </c>
      <c r="C116" s="23">
        <v>0</v>
      </c>
      <c r="D116" s="23"/>
      <c r="E116" s="23">
        <f>IF(D116="S",$C116,0)</f>
        <v>0</v>
      </c>
      <c r="F116" s="182"/>
      <c r="G116" s="182">
        <f>IF(F116="S",$C116,0)</f>
        <v>0</v>
      </c>
      <c r="H116" s="182"/>
      <c r="I116" s="182">
        <f>IF(H116="S",$C116,0)</f>
        <v>0</v>
      </c>
      <c r="J116" s="183"/>
      <c r="K116" s="182">
        <f>IF(J116="S",$C116,0)</f>
        <v>0</v>
      </c>
      <c r="L116" s="182"/>
      <c r="M116" s="182">
        <f>IF(L116="S",$C116,0)</f>
        <v>0</v>
      </c>
      <c r="N116" s="412"/>
      <c r="O116" s="182">
        <f>IF(N116="S",$C116,0)</f>
        <v>0</v>
      </c>
      <c r="P116" s="183"/>
      <c r="Q116" s="182">
        <f>IF(P116="S",$C116,0)</f>
        <v>0</v>
      </c>
      <c r="R116" s="86"/>
      <c r="S116" s="23">
        <f>IF(R116="S",$C116,0)</f>
        <v>0</v>
      </c>
      <c r="T116" s="182"/>
      <c r="U116" s="182">
        <f>IF(T116="S",$C116,0)</f>
        <v>0</v>
      </c>
      <c r="V116" s="182"/>
      <c r="W116" s="182">
        <f>IF(V116="S",$C116,0)</f>
        <v>0</v>
      </c>
      <c r="X116" s="183"/>
      <c r="Y116" s="182">
        <f>IF(X116="S",$C116,0)</f>
        <v>0</v>
      </c>
      <c r="Z116" s="182"/>
      <c r="AA116" s="182">
        <f>IF(Z116="S",$C116,0)</f>
        <v>0</v>
      </c>
      <c r="AB116" s="183"/>
      <c r="AC116" s="182">
        <f>IF(AB116="S",$C116,0)</f>
        <v>0</v>
      </c>
      <c r="AD116" s="183"/>
      <c r="AE116" s="182">
        <f>IF(AD116="S",$C116,0)</f>
        <v>0</v>
      </c>
      <c r="AF116" s="86"/>
      <c r="AG116" s="116">
        <f>IF(AF116="S",$C116,0)</f>
        <v>0</v>
      </c>
      <c r="AH116" s="183"/>
      <c r="AI116" s="182">
        <f>IF(AH116="S",$C116,0)</f>
        <v>0</v>
      </c>
      <c r="AJ116" s="183"/>
      <c r="AK116" s="182">
        <f>IF(AJ116="S",$C116,0)</f>
        <v>0</v>
      </c>
      <c r="AL116" s="86"/>
      <c r="AM116" s="116">
        <f>IF(AL116="S",$C116,0)</f>
        <v>0</v>
      </c>
    </row>
    <row r="117" spans="1:39" s="96" customFormat="1" x14ac:dyDescent="0.25">
      <c r="A117" s="123" t="s">
        <v>215</v>
      </c>
      <c r="B117" s="110" t="s">
        <v>213</v>
      </c>
      <c r="C117" s="76">
        <f>A118</f>
        <v>3</v>
      </c>
      <c r="D117" s="979"/>
      <c r="E117" s="979" t="str">
        <f>IF(D117&gt;2.9,$C117,IF(D117&gt;1.4,$C118,IF(D117&gt;0,$C119,IF(D117=0,"0"))))</f>
        <v>0</v>
      </c>
      <c r="F117" s="979"/>
      <c r="G117" s="979" t="str">
        <f>IF(F117&gt;2.9,$C117,IF(F117&gt;1.4,$C118,IF(F117&gt;0,$C119,IF(F117=0,"0"))))</f>
        <v>0</v>
      </c>
      <c r="H117" s="979">
        <v>2.5</v>
      </c>
      <c r="I117" s="979">
        <f>IF(H117&gt;2.9,$C117,IF(H117&gt;1.9,$C118,IF(H117&gt;0,$C119,IF(H117=0,"0"))))</f>
        <v>1</v>
      </c>
      <c r="J117" s="979">
        <v>1.5</v>
      </c>
      <c r="K117" s="979">
        <f>IF(J117&gt;2.9,$C117,IF(J117&gt;1.9,$C118,IF(J117&gt;0,$C119,IF(J117=0,"0"))))</f>
        <v>0</v>
      </c>
      <c r="L117" s="979">
        <v>1.8</v>
      </c>
      <c r="M117" s="979">
        <f>IF(L117&gt;2.9,$C117,IF(L117&gt;1.9,$C118,IF(L117&gt;0,$C119,IF(L117=0,"0"))))</f>
        <v>0</v>
      </c>
      <c r="N117" s="979">
        <v>1.8</v>
      </c>
      <c r="O117" s="979">
        <f>IF(N117&gt;2.9,$C117,IF(N117&gt;1.9,$C118,IF(N117&gt;0,$C119,IF(N117=0,"0"))))</f>
        <v>0</v>
      </c>
      <c r="P117" s="979"/>
      <c r="Q117" s="979" t="str">
        <f>IF(P117&gt;2.9,$C117,IF(P117&gt;1.4,$C118,IF(P117&gt;0,$C119,IF(P117=0,"0"))))</f>
        <v>0</v>
      </c>
      <c r="R117" s="979">
        <v>1.5</v>
      </c>
      <c r="S117" s="979">
        <f>IF(R117&gt;2.9,$C117,IF(R117&gt;1.9,$C118,IF(R117&gt;0,$C119,IF(R117=0,"0"))))</f>
        <v>0</v>
      </c>
      <c r="T117" s="979">
        <v>2.5</v>
      </c>
      <c r="U117" s="979">
        <f>IF(T117&gt;2.9,$C117,IF(T117&gt;1.9,$C118,IF(T117&gt;0,$C119,IF(T117=0,"0"))))</f>
        <v>1</v>
      </c>
      <c r="V117" s="979">
        <v>2.5</v>
      </c>
      <c r="W117" s="979">
        <f>IF(V117&gt;2.9,$C117,IF(V117&gt;1.9,$C118,IF(V117&gt;0,$C119,IF(V117=0,"0"))))</f>
        <v>1</v>
      </c>
      <c r="X117" s="979">
        <v>2.5</v>
      </c>
      <c r="Y117" s="979">
        <f>IF(X117&gt;2.9,$C117,IF(X117&gt;1.9,$C118,IF(X117&gt;0,$C119,IF(X117=0,"0"))))</f>
        <v>1</v>
      </c>
      <c r="Z117" s="979"/>
      <c r="AA117" s="979" t="str">
        <f>IF(Z117&gt;2.9,$C117,IF(Z117&gt;1.4,$C118,IF(Z117&gt;0,$C119,IF(Z117=0,"0"))))</f>
        <v>0</v>
      </c>
      <c r="AB117" s="979">
        <v>2.5</v>
      </c>
      <c r="AC117" s="979">
        <f>IF(AB117&gt;2.9,$C117,IF(AB117&gt;1.9,$C118,IF(AB117&gt;0,$C119,IF(AB117=0,"0"))))</f>
        <v>1</v>
      </c>
      <c r="AD117" s="979">
        <v>1.54</v>
      </c>
      <c r="AE117" s="979">
        <f>IF(AD117&gt;2.9,$C117,IF(AD117&gt;1.9,$C118,IF(AD117&gt;0,$C119,IF(AD117=0,"0"))))</f>
        <v>0</v>
      </c>
      <c r="AF117" s="979">
        <v>2.5</v>
      </c>
      <c r="AG117" s="979">
        <f>IF(AF117&gt;2.9,$C117,IF(AF117&gt;1.9,$C118,IF(AF117&gt;0,$C119,IF(AF117=0,"0"))))</f>
        <v>1</v>
      </c>
      <c r="AH117" s="979"/>
      <c r="AI117" s="979" t="str">
        <f>IF(AH117&gt;2.9,$C117,IF(AH117&gt;1.4,$C118,IF(AH117&gt;0,$C119,IF(AH117=0,"0"))))</f>
        <v>0</v>
      </c>
      <c r="AJ117" s="979">
        <v>2.2000000000000002</v>
      </c>
      <c r="AK117" s="979">
        <f>IF(AJ117&gt;2.9,$C117,IF(AJ117&gt;1.9,$C118,IF(AJ117&gt;0,$C119,IF(AJ117=0,"0"))))</f>
        <v>1</v>
      </c>
      <c r="AL117" s="979"/>
      <c r="AM117" s="979" t="str">
        <f>IF(AL117&gt;2.9,$C117,IF(AL117&gt;1.4,$C118,IF(AL117&gt;0,$C119,IF(AL117=0,"0"))))</f>
        <v>0</v>
      </c>
    </row>
    <row r="118" spans="1:39" s="96" customFormat="1" x14ac:dyDescent="0.25">
      <c r="A118" s="69">
        <v>3</v>
      </c>
      <c r="B118" s="110" t="s">
        <v>212</v>
      </c>
      <c r="C118" s="76">
        <v>1</v>
      </c>
      <c r="D118" s="980"/>
      <c r="E118" s="980"/>
      <c r="F118" s="980"/>
      <c r="G118" s="980"/>
      <c r="H118" s="980"/>
      <c r="I118" s="980"/>
      <c r="J118" s="980"/>
      <c r="K118" s="980"/>
      <c r="L118" s="980"/>
      <c r="M118" s="980"/>
      <c r="N118" s="980"/>
      <c r="O118" s="980"/>
      <c r="P118" s="980"/>
      <c r="Q118" s="980"/>
      <c r="R118" s="980"/>
      <c r="S118" s="980"/>
      <c r="T118" s="980"/>
      <c r="U118" s="980"/>
      <c r="V118" s="980"/>
      <c r="W118" s="980"/>
      <c r="X118" s="980"/>
      <c r="Y118" s="980"/>
      <c r="Z118" s="980"/>
      <c r="AA118" s="980"/>
      <c r="AB118" s="980"/>
      <c r="AC118" s="980"/>
      <c r="AD118" s="980"/>
      <c r="AE118" s="980"/>
      <c r="AF118" s="980"/>
      <c r="AG118" s="980"/>
      <c r="AH118" s="980"/>
      <c r="AI118" s="980"/>
      <c r="AJ118" s="980"/>
      <c r="AK118" s="980"/>
      <c r="AL118" s="980"/>
      <c r="AM118" s="980"/>
    </row>
    <row r="119" spans="1:39" s="96" customFormat="1" x14ac:dyDescent="0.25">
      <c r="A119" s="70"/>
      <c r="B119" s="110" t="s">
        <v>214</v>
      </c>
      <c r="C119" s="76">
        <v>0</v>
      </c>
      <c r="D119" s="981"/>
      <c r="E119" s="981"/>
      <c r="F119" s="981"/>
      <c r="G119" s="981"/>
      <c r="H119" s="981"/>
      <c r="I119" s="981"/>
      <c r="J119" s="981"/>
      <c r="K119" s="981"/>
      <c r="L119" s="981"/>
      <c r="M119" s="981"/>
      <c r="N119" s="981"/>
      <c r="O119" s="981"/>
      <c r="P119" s="981"/>
      <c r="Q119" s="981"/>
      <c r="R119" s="981"/>
      <c r="S119" s="981"/>
      <c r="T119" s="981"/>
      <c r="U119" s="981"/>
      <c r="V119" s="981"/>
      <c r="W119" s="981"/>
      <c r="X119" s="981"/>
      <c r="Y119" s="981"/>
      <c r="Z119" s="981"/>
      <c r="AA119" s="981"/>
      <c r="AB119" s="981"/>
      <c r="AC119" s="981"/>
      <c r="AD119" s="981"/>
      <c r="AE119" s="981"/>
      <c r="AF119" s="981"/>
      <c r="AG119" s="981"/>
      <c r="AH119" s="981"/>
      <c r="AI119" s="981"/>
      <c r="AJ119" s="981"/>
      <c r="AK119" s="981"/>
      <c r="AL119" s="981"/>
      <c r="AM119" s="981"/>
    </row>
    <row r="120" spans="1:39" s="96" customFormat="1" x14ac:dyDescent="0.25">
      <c r="A120" s="120" t="s">
        <v>216</v>
      </c>
      <c r="B120" s="119" t="s">
        <v>213</v>
      </c>
      <c r="C120" s="23">
        <f>A121</f>
        <v>3</v>
      </c>
      <c r="D120" s="1029"/>
      <c r="E120" s="1029" t="str">
        <f>IF(D120&gt;2.9,$C120,IF(D120&gt;1.4,$C121,IF(D120&gt;0,$C122,IF(D120=0,"0"))))</f>
        <v>0</v>
      </c>
      <c r="F120" s="976"/>
      <c r="G120" s="976" t="str">
        <f>IF(F120&gt;2.9,$C120,IF(F120&gt;1.4,$C121,IF(F120&gt;0,$C122,IF(F120=0,"0"))))</f>
        <v>0</v>
      </c>
      <c r="H120" s="976">
        <v>4</v>
      </c>
      <c r="I120" s="976">
        <f>IF(H120&gt;2.9,$C120,IF(H120&gt;1.4,$C121,IF(H120&gt;0,$C122,IF(H120=0,"0"))))</f>
        <v>3</v>
      </c>
      <c r="J120" s="976">
        <v>3.6</v>
      </c>
      <c r="K120" s="976">
        <f>IF(J120&gt;2.9,$C120,IF(J120&gt;1.4,$C121,IF(J120&gt;0,$C122,IF(J120=0,"0"))))</f>
        <v>3</v>
      </c>
      <c r="L120" s="976">
        <v>2</v>
      </c>
      <c r="M120" s="976">
        <f>IF(L120&gt;2.9,$C120,IF(L120&gt;1.4,$C121,IF(L120&gt;0,$C122,IF(L120=0,"0"))))</f>
        <v>2</v>
      </c>
      <c r="N120" s="976">
        <v>2</v>
      </c>
      <c r="O120" s="976">
        <f>IF(N120&gt;2.9,$C120,IF(N120&gt;1.4,$C121,IF(N120&gt;0,$C122,IF(N120=0,"0"))))</f>
        <v>2</v>
      </c>
      <c r="P120" s="976"/>
      <c r="Q120" s="976" t="str">
        <f>IF(P120&gt;2.9,$C120,IF(P120&gt;1.4,$C121,IF(P120&gt;0,$C122,IF(P120=0,"0"))))</f>
        <v>0</v>
      </c>
      <c r="R120" s="1029">
        <v>4.5</v>
      </c>
      <c r="S120" s="1029">
        <f>IF(R120&gt;2.9,$C120,IF(R120&gt;1.4,$C121,IF(R120&gt;0,$C122,IF(R120=0,"0"))))</f>
        <v>3</v>
      </c>
      <c r="T120" s="976">
        <v>5</v>
      </c>
      <c r="U120" s="976">
        <f>IF(T120&gt;2.9,$C120,IF(T120&gt;1.4,$C121,IF(T120&gt;0,$C122,IF(T120=0,"0"))))</f>
        <v>3</v>
      </c>
      <c r="V120" s="976">
        <v>4.2</v>
      </c>
      <c r="W120" s="976">
        <f>IF(V120&gt;2.9,$C120,IF(V120&gt;1.4,$C121,IF(V120&gt;0,$C122,IF(V120=0,"0"))))</f>
        <v>3</v>
      </c>
      <c r="X120" s="976">
        <v>3.2</v>
      </c>
      <c r="Y120" s="976">
        <f>IF(X120&gt;2.9,$C120,IF(X120&gt;1.4,$C121,IF(X120&gt;0,$C122,IF(X120=0,"0"))))</f>
        <v>3</v>
      </c>
      <c r="Z120" s="976"/>
      <c r="AA120" s="976" t="str">
        <f>IF(Z120&gt;2.9,$C120,IF(Z120&gt;1.4,$C121,IF(Z120&gt;0,$C122,IF(Z120=0,"0"))))</f>
        <v>0</v>
      </c>
      <c r="AB120" s="976">
        <v>2.5</v>
      </c>
      <c r="AC120" s="976">
        <f>IF(AB120&gt;2.9,$C120,IF(AB120&gt;1.4,$C121,IF(AB120&gt;0,$C122,IF(AB120=0,"0"))))</f>
        <v>2</v>
      </c>
      <c r="AD120" s="976">
        <v>5.5</v>
      </c>
      <c r="AE120" s="976">
        <f>IF(AD120&gt;2.9,$C120,IF(AD120&gt;1.4,$C121,IF(AD120&gt;0,$C122,IF(AD120=0,"0"))))</f>
        <v>3</v>
      </c>
      <c r="AF120" s="1029">
        <v>4</v>
      </c>
      <c r="AG120" s="1029">
        <f>IF(AF120&gt;2.9,$C120,IF(AF120&gt;1.4,$C121,IF(AF120&gt;0,$C122,IF(AF120=0,"0"))))</f>
        <v>3</v>
      </c>
      <c r="AH120" s="976"/>
      <c r="AI120" s="976" t="str">
        <f>IF(AH120&gt;2.9,$C120,IF(AH120&gt;1.4,$C121,IF(AH120&gt;0,$C122,IF(AH120=0,"0"))))</f>
        <v>0</v>
      </c>
      <c r="AJ120" s="976">
        <v>3.9</v>
      </c>
      <c r="AK120" s="976">
        <f>IF(AJ120&gt;2.9,$C120,IF(AJ120&gt;1.4,$C121,IF(AJ120&gt;0,$C122,IF(AJ120=0,"0"))))</f>
        <v>3</v>
      </c>
      <c r="AL120" s="1029"/>
      <c r="AM120" s="1029" t="str">
        <f>IF(AL120&gt;2.9,$C120,IF(AL120&gt;1.4,$C121,IF(AL120&gt;0,$C122,IF(AL120=0,"0"))))</f>
        <v>0</v>
      </c>
    </row>
    <row r="121" spans="1:39" s="96" customFormat="1" x14ac:dyDescent="0.25">
      <c r="A121" s="457">
        <v>3</v>
      </c>
      <c r="B121" s="119" t="s">
        <v>212</v>
      </c>
      <c r="C121" s="23">
        <v>2</v>
      </c>
      <c r="D121" s="1030"/>
      <c r="E121" s="1030"/>
      <c r="F121" s="977"/>
      <c r="G121" s="977"/>
      <c r="H121" s="977"/>
      <c r="I121" s="977"/>
      <c r="J121" s="977"/>
      <c r="K121" s="977"/>
      <c r="L121" s="977"/>
      <c r="M121" s="977"/>
      <c r="N121" s="977"/>
      <c r="O121" s="977"/>
      <c r="P121" s="977"/>
      <c r="Q121" s="977"/>
      <c r="R121" s="1030"/>
      <c r="S121" s="1030"/>
      <c r="T121" s="977"/>
      <c r="U121" s="977"/>
      <c r="V121" s="977"/>
      <c r="W121" s="977"/>
      <c r="X121" s="977"/>
      <c r="Y121" s="977"/>
      <c r="Z121" s="977"/>
      <c r="AA121" s="977"/>
      <c r="AB121" s="977"/>
      <c r="AC121" s="977"/>
      <c r="AD121" s="977"/>
      <c r="AE121" s="977"/>
      <c r="AF121" s="1030"/>
      <c r="AG121" s="1030"/>
      <c r="AH121" s="977"/>
      <c r="AI121" s="977"/>
      <c r="AJ121" s="977"/>
      <c r="AK121" s="977"/>
      <c r="AL121" s="1030"/>
      <c r="AM121" s="1030"/>
    </row>
    <row r="122" spans="1:39" s="96" customFormat="1" x14ac:dyDescent="0.25">
      <c r="A122" s="458"/>
      <c r="B122" s="119" t="s">
        <v>214</v>
      </c>
      <c r="C122" s="23">
        <v>0</v>
      </c>
      <c r="D122" s="1033"/>
      <c r="E122" s="1033"/>
      <c r="F122" s="978"/>
      <c r="G122" s="978"/>
      <c r="H122" s="978"/>
      <c r="I122" s="978"/>
      <c r="J122" s="978"/>
      <c r="K122" s="978"/>
      <c r="L122" s="978"/>
      <c r="M122" s="978"/>
      <c r="N122" s="978"/>
      <c r="O122" s="978"/>
      <c r="P122" s="978"/>
      <c r="Q122" s="978"/>
      <c r="R122" s="1033"/>
      <c r="S122" s="1033"/>
      <c r="T122" s="978"/>
      <c r="U122" s="978"/>
      <c r="V122" s="978"/>
      <c r="W122" s="978"/>
      <c r="X122" s="978"/>
      <c r="Y122" s="978"/>
      <c r="Z122" s="978"/>
      <c r="AA122" s="978"/>
      <c r="AB122" s="978"/>
      <c r="AC122" s="978"/>
      <c r="AD122" s="978"/>
      <c r="AE122" s="978"/>
      <c r="AF122" s="1033"/>
      <c r="AG122" s="1033"/>
      <c r="AH122" s="978"/>
      <c r="AI122" s="978"/>
      <c r="AJ122" s="978"/>
      <c r="AK122" s="978"/>
      <c r="AL122" s="1033"/>
      <c r="AM122" s="1033"/>
    </row>
    <row r="123" spans="1:39" x14ac:dyDescent="0.25">
      <c r="A123" s="123" t="s">
        <v>220</v>
      </c>
      <c r="B123" s="456" t="s">
        <v>165</v>
      </c>
      <c r="C123" s="26">
        <f>A124</f>
        <v>3</v>
      </c>
      <c r="D123" s="26"/>
      <c r="E123" s="26">
        <f>IF(D123="S",$C123,0)</f>
        <v>0</v>
      </c>
      <c r="F123" s="76"/>
      <c r="G123" s="76">
        <f>IF(F123="S",$C123,0)</f>
        <v>0</v>
      </c>
      <c r="H123" s="76"/>
      <c r="I123" s="76">
        <f>IF(H123="S",$C123,0)</f>
        <v>0</v>
      </c>
      <c r="J123" s="76"/>
      <c r="K123" s="76">
        <f>IF(J123="S",$C123,0)</f>
        <v>0</v>
      </c>
      <c r="L123" s="76"/>
      <c r="M123" s="76">
        <f>IF(L123="S",$C123,0)</f>
        <v>0</v>
      </c>
      <c r="N123" s="411"/>
      <c r="O123" s="76">
        <f>IF(N123="S",$C123,0)</f>
        <v>0</v>
      </c>
      <c r="P123" s="76"/>
      <c r="Q123" s="76">
        <f>IF(P123="S",$C123,0)</f>
        <v>0</v>
      </c>
      <c r="R123" s="26"/>
      <c r="S123" s="26">
        <f>IF(R123="S",$C123,0)</f>
        <v>0</v>
      </c>
      <c r="T123" s="76"/>
      <c r="U123" s="76">
        <f>IF(T123="S",$C123,0)</f>
        <v>0</v>
      </c>
      <c r="V123" s="76"/>
      <c r="W123" s="76">
        <f>IF(V123="S",$C123,0)</f>
        <v>0</v>
      </c>
      <c r="X123" s="76"/>
      <c r="Y123" s="76">
        <f>IF(X123="S",$C123,0)</f>
        <v>0</v>
      </c>
      <c r="Z123" s="76"/>
      <c r="AA123" s="76">
        <f>IF(Z123="S",$C123,0)</f>
        <v>0</v>
      </c>
      <c r="AB123" s="76"/>
      <c r="AC123" s="76">
        <f>IF(AB123="S",$C123,0)</f>
        <v>0</v>
      </c>
      <c r="AD123" s="76"/>
      <c r="AE123" s="76">
        <f>IF(AD123="S",$C123,0)</f>
        <v>0</v>
      </c>
      <c r="AF123" s="164"/>
      <c r="AG123" s="164">
        <f>IF(AF123="S",$C123,0)</f>
        <v>0</v>
      </c>
      <c r="AH123" s="76"/>
      <c r="AI123" s="76">
        <f>IF(AH123="S",$C123,0)</f>
        <v>0</v>
      </c>
      <c r="AJ123" s="76"/>
      <c r="AK123" s="76">
        <f>IF(AJ123="S",$C123,0)</f>
        <v>0</v>
      </c>
      <c r="AL123" s="164"/>
      <c r="AM123" s="164">
        <f>IF(AL123="S",$C123,0)</f>
        <v>0</v>
      </c>
    </row>
    <row r="124" spans="1:39" x14ac:dyDescent="0.25">
      <c r="A124" s="69">
        <v>3</v>
      </c>
      <c r="B124" s="456" t="s">
        <v>58</v>
      </c>
      <c r="C124" s="26">
        <v>2</v>
      </c>
      <c r="D124" s="26"/>
      <c r="E124" s="26">
        <f>IF(D124="S",$C124,0)</f>
        <v>0</v>
      </c>
      <c r="F124" s="76"/>
      <c r="G124" s="76">
        <f>IF(F124="S",$C124,0)</f>
        <v>0</v>
      </c>
      <c r="H124" s="114" t="s">
        <v>108</v>
      </c>
      <c r="I124" s="76">
        <f>IF(H124="S",$C124,0)</f>
        <v>2</v>
      </c>
      <c r="J124" s="471" t="s">
        <v>108</v>
      </c>
      <c r="K124" s="76">
        <f>IF(J124="S",$C124,0)</f>
        <v>2</v>
      </c>
      <c r="L124" s="76"/>
      <c r="M124" s="76">
        <f>IF(L124="S",$C124,0)</f>
        <v>0</v>
      </c>
      <c r="N124" s="411"/>
      <c r="O124" s="76">
        <f>IF(N124="S",$C124,0)</f>
        <v>0</v>
      </c>
      <c r="P124" s="76"/>
      <c r="Q124" s="76">
        <f>IF(P124="S",$C124,0)</f>
        <v>0</v>
      </c>
      <c r="R124" s="470" t="s">
        <v>108</v>
      </c>
      <c r="S124" s="26">
        <f>IF(R124="S",$C124,0)</f>
        <v>2</v>
      </c>
      <c r="T124" s="433" t="s">
        <v>108</v>
      </c>
      <c r="U124" s="76">
        <f>IF(T124="S",$C124,0)</f>
        <v>2</v>
      </c>
      <c r="V124" s="461" t="s">
        <v>108</v>
      </c>
      <c r="W124" s="76">
        <f>IF(V124="S",$C124,0)</f>
        <v>2</v>
      </c>
      <c r="X124" s="471" t="s">
        <v>108</v>
      </c>
      <c r="Y124" s="76">
        <f>IF(X124="S",$C124,0)</f>
        <v>2</v>
      </c>
      <c r="Z124" s="76"/>
      <c r="AA124" s="76">
        <f>IF(Z124="S",$C124,0)</f>
        <v>0</v>
      </c>
      <c r="AB124" s="114" t="s">
        <v>666</v>
      </c>
      <c r="AC124" s="76">
        <f>IF(AB124="S",$C124,0)</f>
        <v>2</v>
      </c>
      <c r="AD124" s="465" t="s">
        <v>108</v>
      </c>
      <c r="AE124" s="76">
        <f>IF(AD124="S",$C124,0)</f>
        <v>2</v>
      </c>
      <c r="AF124" s="470" t="s">
        <v>108</v>
      </c>
      <c r="AG124" s="164">
        <f>IF(AF124="S",$C124,0)</f>
        <v>2</v>
      </c>
      <c r="AH124" s="76"/>
      <c r="AI124" s="76">
        <f>IF(AH124="S",$C124,0)</f>
        <v>0</v>
      </c>
      <c r="AJ124" s="76"/>
      <c r="AK124" s="76">
        <f>IF(AJ124="S",$C124,0)</f>
        <v>0</v>
      </c>
      <c r="AL124" s="164"/>
      <c r="AM124" s="164">
        <f>IF(AL124="S",$C124,0)</f>
        <v>0</v>
      </c>
    </row>
    <row r="125" spans="1:39" x14ac:dyDescent="0.25">
      <c r="A125" s="70"/>
      <c r="B125" s="456" t="s">
        <v>140</v>
      </c>
      <c r="C125" s="26">
        <v>1</v>
      </c>
      <c r="D125" s="26"/>
      <c r="E125" s="26">
        <f>IF(D125="S",$C125,0)</f>
        <v>0</v>
      </c>
      <c r="F125" s="76"/>
      <c r="G125" s="76">
        <f>IF(F125="S",$C125,0)</f>
        <v>0</v>
      </c>
      <c r="H125" s="76"/>
      <c r="I125" s="76">
        <f>IF(H125="S",$C125,0)</f>
        <v>0</v>
      </c>
      <c r="J125" s="76"/>
      <c r="K125" s="76"/>
      <c r="L125" s="411" t="s">
        <v>108</v>
      </c>
      <c r="M125" s="76">
        <f>IF(L125="S",$C125,0)</f>
        <v>1</v>
      </c>
      <c r="N125" s="411" t="s">
        <v>108</v>
      </c>
      <c r="O125" s="76">
        <f>IF(N125="S",$C125,0)</f>
        <v>1</v>
      </c>
      <c r="P125" s="76"/>
      <c r="Q125" s="76">
        <f>IF(P125="S",$C125,0)</f>
        <v>0</v>
      </c>
      <c r="R125" s="26"/>
      <c r="S125" s="26">
        <f>IF(R125="S",$C125,0)</f>
        <v>0</v>
      </c>
      <c r="T125" s="76"/>
      <c r="U125" s="76">
        <f>IF(T125="S",$C125,0)</f>
        <v>0</v>
      </c>
      <c r="V125" s="76"/>
      <c r="W125" s="76">
        <f>IF(V125="S",$C125,0)</f>
        <v>0</v>
      </c>
      <c r="X125" s="76"/>
      <c r="Y125" s="76"/>
      <c r="Z125" s="76"/>
      <c r="AA125" s="76">
        <f>IF(Z125="S",$C125,0)</f>
        <v>0</v>
      </c>
      <c r="AB125" s="76"/>
      <c r="AC125" s="76">
        <f>IF(AB125="S",$C125,0)</f>
        <v>0</v>
      </c>
      <c r="AD125" s="76"/>
      <c r="AE125" s="76">
        <f>IF(AD125="S",$C125,0)</f>
        <v>0</v>
      </c>
      <c r="AF125" s="164"/>
      <c r="AG125" s="164">
        <f>IF(AF125="S",$C125,0)</f>
        <v>0</v>
      </c>
      <c r="AH125" s="76"/>
      <c r="AI125" s="76">
        <f>IF(AH125="S",$C125,0)</f>
        <v>0</v>
      </c>
      <c r="AJ125" s="461" t="s">
        <v>108</v>
      </c>
      <c r="AK125" s="76">
        <f>IF(AJ125="S",$C125,0)</f>
        <v>1</v>
      </c>
      <c r="AL125" s="164"/>
      <c r="AM125" s="164">
        <f>IF(AL125="S",$C125,0)</f>
        <v>0</v>
      </c>
    </row>
    <row r="126" spans="1:39" s="96" customFormat="1" x14ac:dyDescent="0.25">
      <c r="A126" s="418" t="s">
        <v>221</v>
      </c>
      <c r="B126" s="97" t="s">
        <v>65</v>
      </c>
      <c r="C126" s="23">
        <v>0</v>
      </c>
      <c r="D126" s="1029"/>
      <c r="E126" s="1029" t="str">
        <f>IF(D126&gt;49,$C128,IF(D126&gt;34,$C127,IF(D126&gt;0,$C126,IF(D126=0,"0"))))</f>
        <v>0</v>
      </c>
      <c r="F126" s="976"/>
      <c r="G126" s="976" t="str">
        <f>IF(F126&gt;49,$C128,IF(F126&gt;34,$C127,IF(F126&gt;0,$C126,IF(F126=0,"0"))))</f>
        <v>0</v>
      </c>
      <c r="H126" s="976">
        <v>30</v>
      </c>
      <c r="I126" s="976">
        <f>IF(H126&gt;49,$C128,IF(H126&gt;34,$C127,IF(H126&gt;0,$C126,IF(H126=0,"0"))))</f>
        <v>0</v>
      </c>
      <c r="J126" s="976">
        <v>25</v>
      </c>
      <c r="K126" s="976">
        <f>IF(J126&gt;49,$C128,IF(J126&gt;34,$C127,IF(J126&gt;0,$C126,IF(J126=0,"0"))))</f>
        <v>0</v>
      </c>
      <c r="L126" s="976">
        <v>40</v>
      </c>
      <c r="M126" s="976">
        <f>IF(L126&gt;50,$C128,IF(L126&gt;34,$C127,IF(L126&gt;0,$C126,IF(L126=0,"0"))))</f>
        <v>2</v>
      </c>
      <c r="N126" s="976">
        <v>40</v>
      </c>
      <c r="O126" s="976">
        <f>IF(N126&gt;50,$C128,IF(N126&gt;34,$C127,IF(N126&gt;0,$C126,IF(N126=0,"0"))))</f>
        <v>2</v>
      </c>
      <c r="P126" s="976"/>
      <c r="Q126" s="976" t="str">
        <f>IF(P126&gt;49,$C128,IF(P126&gt;34,$C127,IF(P126&gt;0,$C126,IF(P126=0,"0"))))</f>
        <v>0</v>
      </c>
      <c r="R126" s="976"/>
      <c r="S126" s="976" t="str">
        <f>IF(R126&gt;50,$C128,IF(R126&gt;34,$C127,IF(R126&gt;0,$C126,IF(R126=0,"0"))))</f>
        <v>0</v>
      </c>
      <c r="T126" s="976">
        <v>70</v>
      </c>
      <c r="U126" s="976">
        <f>IF(T126&gt;50,$C128,IF(T126&gt;34,$C127,IF(T126&gt;0,$C126,IF(T126=0,"0"))))</f>
        <v>4</v>
      </c>
      <c r="V126" s="976">
        <v>70</v>
      </c>
      <c r="W126" s="976">
        <f>IF(V126&gt;50,$C128,IF(V126&gt;34,$C127,IF(V126&gt;0,$C126,IF(V126=0,"0"))))</f>
        <v>4</v>
      </c>
      <c r="X126" s="976">
        <v>25</v>
      </c>
      <c r="Y126" s="976">
        <f>IF(X126&gt;50,$C128,IF(X126&gt;34,$C127,IF(X126&gt;0,$C126,IF(X126=0,"0"))))</f>
        <v>0</v>
      </c>
      <c r="Z126" s="976"/>
      <c r="AA126" s="976" t="str">
        <f>IF(Z126&gt;49,$C128,IF(Z126&gt;34,$C127,IF(Z126&gt;0,$C126,IF(Z126=0,"0"))))</f>
        <v>0</v>
      </c>
      <c r="AB126" s="976">
        <v>65</v>
      </c>
      <c r="AC126" s="976">
        <f>IF(AB126&gt;50,$C128,IF(AB126&gt;34,$C127,IF(AB126&gt;0,$C126,IF(AB126=0,"0"))))</f>
        <v>4</v>
      </c>
      <c r="AD126" s="976">
        <v>50</v>
      </c>
      <c r="AE126" s="976">
        <f>IF(AD126&gt;50,$C128,IF(AD126&gt;34,$C127,IF(AD126&gt;0,$C126,IF(AD126=0,"0"))))</f>
        <v>2</v>
      </c>
      <c r="AF126" s="976">
        <v>34</v>
      </c>
      <c r="AG126" s="976">
        <f>IF(AF126&gt;50,$C128,IF(AF126&gt;34,$C127,IF(AF126&gt;0,$C126,IF(AF126=0,"0"))))</f>
        <v>0</v>
      </c>
      <c r="AH126" s="976"/>
      <c r="AI126" s="976" t="str">
        <f>IF(AH126&gt;49,$C128,IF(AH126&gt;34,$C127,IF(AH126&gt;0,$C126,IF(AH126=0,"0"))))</f>
        <v>0</v>
      </c>
      <c r="AJ126" s="976"/>
      <c r="AK126" s="976" t="str">
        <f>IF(AJ126&gt;50,$C128,IF(AJ126&gt;34,$C127,IF(AJ126&gt;0,$C126,IF(AJ126=0,"0"))))</f>
        <v>0</v>
      </c>
      <c r="AL126" s="976"/>
      <c r="AM126" s="1029" t="str">
        <f>IF(AL126&gt;49,$C128,IF(AL126&gt;34,$C127,IF(AL126&gt;0,$C126,IF(AL126=0,"0"))))</f>
        <v>0</v>
      </c>
    </row>
    <row r="127" spans="1:39" s="96" customFormat="1" ht="13.8" x14ac:dyDescent="0.3">
      <c r="A127" s="457">
        <v>4</v>
      </c>
      <c r="B127" s="415" t="s">
        <v>1123</v>
      </c>
      <c r="C127" s="23">
        <v>2</v>
      </c>
      <c r="D127" s="1031"/>
      <c r="E127" s="1030"/>
      <c r="F127" s="977"/>
      <c r="G127" s="977"/>
      <c r="H127" s="977"/>
      <c r="I127" s="977"/>
      <c r="J127" s="977"/>
      <c r="K127" s="977"/>
      <c r="L127" s="977"/>
      <c r="M127" s="977"/>
      <c r="N127" s="977"/>
      <c r="O127" s="977"/>
      <c r="P127" s="977"/>
      <c r="Q127" s="977"/>
      <c r="R127" s="977"/>
      <c r="S127" s="977"/>
      <c r="T127" s="977"/>
      <c r="U127" s="977"/>
      <c r="V127" s="977"/>
      <c r="W127" s="977"/>
      <c r="X127" s="977"/>
      <c r="Y127" s="977"/>
      <c r="Z127" s="977"/>
      <c r="AA127" s="977"/>
      <c r="AB127" s="977"/>
      <c r="AC127" s="977"/>
      <c r="AD127" s="977"/>
      <c r="AE127" s="977"/>
      <c r="AF127" s="977"/>
      <c r="AG127" s="977"/>
      <c r="AH127" s="977"/>
      <c r="AI127" s="977"/>
      <c r="AJ127" s="977"/>
      <c r="AK127" s="977"/>
      <c r="AL127" s="977"/>
      <c r="AM127" s="1030"/>
    </row>
    <row r="128" spans="1:39" s="96" customFormat="1" x14ac:dyDescent="0.25">
      <c r="A128" s="458"/>
      <c r="B128" s="415" t="s">
        <v>1124</v>
      </c>
      <c r="C128" s="23">
        <f>A127</f>
        <v>4</v>
      </c>
      <c r="D128" s="1032"/>
      <c r="E128" s="1033"/>
      <c r="F128" s="978"/>
      <c r="G128" s="978"/>
      <c r="H128" s="978"/>
      <c r="I128" s="978"/>
      <c r="J128" s="978"/>
      <c r="K128" s="978"/>
      <c r="L128" s="978"/>
      <c r="M128" s="978"/>
      <c r="N128" s="978"/>
      <c r="O128" s="978"/>
      <c r="P128" s="978"/>
      <c r="Q128" s="978"/>
      <c r="R128" s="978"/>
      <c r="S128" s="978"/>
      <c r="T128" s="978"/>
      <c r="U128" s="978"/>
      <c r="V128" s="978"/>
      <c r="W128" s="978"/>
      <c r="X128" s="978"/>
      <c r="Y128" s="978"/>
      <c r="Z128" s="978"/>
      <c r="AA128" s="978"/>
      <c r="AB128" s="978"/>
      <c r="AC128" s="978"/>
      <c r="AD128" s="978"/>
      <c r="AE128" s="978"/>
      <c r="AF128" s="978"/>
      <c r="AG128" s="978"/>
      <c r="AH128" s="978"/>
      <c r="AI128" s="978"/>
      <c r="AJ128" s="978"/>
      <c r="AK128" s="978"/>
      <c r="AL128" s="978"/>
      <c r="AM128" s="1033"/>
    </row>
    <row r="129" spans="1:39" s="96" customFormat="1" x14ac:dyDescent="0.25">
      <c r="A129" s="124" t="s">
        <v>45</v>
      </c>
      <c r="B129" s="288" t="s">
        <v>65</v>
      </c>
      <c r="C129" s="76">
        <v>0</v>
      </c>
      <c r="D129" s="979"/>
      <c r="E129" s="979" t="str">
        <f>IF(D129&gt;49,$C131,IF(D129&gt;34,$C130,IF(D129&gt;0,$C129,IF(D129=0,"0"))))</f>
        <v>0</v>
      </c>
      <c r="F129" s="979"/>
      <c r="G129" s="979" t="str">
        <f>IF(F129&gt;49,$C131,IF(F129&gt;34,$C130,IF(F129&gt;0,$C129,IF(F129=0,"0"))))</f>
        <v>0</v>
      </c>
      <c r="H129" s="979">
        <v>30</v>
      </c>
      <c r="I129" s="979">
        <f>IF(H129&gt;49,$C131,IF(H129&gt;34,$C130,IF(H129&gt;0,$C129,IF(H129=0,"0"))))</f>
        <v>0</v>
      </c>
      <c r="J129" s="979">
        <v>30</v>
      </c>
      <c r="K129" s="979">
        <f>IF(J129&gt;49,$C131,IF(J129&gt;34,$C130,IF(J129&gt;0,$C129,IF(J129=0,"0"))))</f>
        <v>0</v>
      </c>
      <c r="L129" s="979">
        <v>40</v>
      </c>
      <c r="M129" s="979">
        <f>IF(L129&gt;50,$C131,IF(L129&gt;34,$C130,IF(L129&gt;0,$C129,IF(L129=0,"0"))))</f>
        <v>2</v>
      </c>
      <c r="N129" s="979">
        <v>40</v>
      </c>
      <c r="O129" s="979">
        <f>IF(N129&gt;50,$C131,IF(N129&gt;34,$C130,IF(N129&gt;0,$C129,IF(N129=0,"0"))))</f>
        <v>2</v>
      </c>
      <c r="P129" s="979"/>
      <c r="Q129" s="979" t="str">
        <f>IF(P129&gt;49,$C131,IF(P129&gt;34,$C130,IF(P129&gt;0,$C129,IF(P129=0,"0"))))</f>
        <v>0</v>
      </c>
      <c r="R129" s="979">
        <v>60</v>
      </c>
      <c r="S129" s="979">
        <f>IF(R129&gt;50,$C131,IF(R129&gt;34,$C130,IF(R129&gt;0,$C129,IF(R129=0,"0"))))</f>
        <v>4</v>
      </c>
      <c r="T129" s="979">
        <v>70</v>
      </c>
      <c r="U129" s="979">
        <f>IF(T129&gt;50,$C131,IF(T129&gt;34,$C130,IF(T129&gt;0,$C129,IF(T129=0,"0"))))</f>
        <v>4</v>
      </c>
      <c r="V129" s="979">
        <v>80</v>
      </c>
      <c r="W129" s="979">
        <f>IF(V129&gt;50,$C131,IF(V129&gt;34,$C130,IF(V129&gt;0,$C129,IF(V129=0,"0"))))</f>
        <v>4</v>
      </c>
      <c r="X129" s="979">
        <v>55</v>
      </c>
      <c r="Y129" s="979">
        <f>IF(X129&gt;50,$C131,IF(X129&gt;34,$C130,IF(X129&gt;0,$C129,IF(X129=0,"0"))))</f>
        <v>4</v>
      </c>
      <c r="Z129" s="979"/>
      <c r="AA129" s="979" t="str">
        <f>IF(Z129&gt;49,$C131,IF(Z129&gt;34,$C130,IF(Z129&gt;0,$C129,IF(Z129=0,"0"))))</f>
        <v>0</v>
      </c>
      <c r="AB129" s="979">
        <v>65</v>
      </c>
      <c r="AC129" s="979">
        <f>IF(AB129&gt;50,$C131,IF(AB129&gt;34,$C130,IF(AB129&gt;0,$C129,IF(AB129=0,"0"))))</f>
        <v>4</v>
      </c>
      <c r="AD129" s="979">
        <v>50</v>
      </c>
      <c r="AE129" s="979">
        <f>IF(AD129&gt;50,$C131,IF(AD129&gt;34,$C130,IF(AD129&gt;0,$C129,IF(AD129=0,"0"))))</f>
        <v>2</v>
      </c>
      <c r="AF129" s="979">
        <v>34</v>
      </c>
      <c r="AG129" s="979">
        <f>IF(AF129&gt;50,$C131,IF(AF129&gt;34,$C130,IF(AF129&gt;0,$C129,IF(AF129=0,"0"))))</f>
        <v>0</v>
      </c>
      <c r="AH129" s="979"/>
      <c r="AI129" s="979" t="str">
        <f>IF(AH129&gt;49,$C131,IF(AH129&gt;34,$C130,IF(AH129&gt;0,$C129,IF(AH129=0,"0"))))</f>
        <v>0</v>
      </c>
      <c r="AJ129" s="979"/>
      <c r="AK129" s="979" t="str">
        <f>IF(AJ129&gt;50,$C131,IF(AJ129&gt;34,$C130,IF(AJ129&gt;0,$C129,IF(AJ129=0,"0"))))</f>
        <v>0</v>
      </c>
      <c r="AL129" s="979"/>
      <c r="AM129" s="979" t="str">
        <f>IF(AL129&gt;49,$C131,IF(AL129&gt;34,$C130,IF(AL129&gt;0,$C129,IF(AL129=0,"0"))))</f>
        <v>0</v>
      </c>
    </row>
    <row r="130" spans="1:39" s="96" customFormat="1" ht="13.8" x14ac:dyDescent="0.3">
      <c r="A130" s="69">
        <v>4</v>
      </c>
      <c r="B130" s="307" t="s">
        <v>1123</v>
      </c>
      <c r="C130" s="76">
        <v>2</v>
      </c>
      <c r="D130" s="990"/>
      <c r="E130" s="980"/>
      <c r="F130" s="980"/>
      <c r="G130" s="980"/>
      <c r="H130" s="980"/>
      <c r="I130" s="980"/>
      <c r="J130" s="980"/>
      <c r="K130" s="980"/>
      <c r="L130" s="980"/>
      <c r="M130" s="980"/>
      <c r="N130" s="980"/>
      <c r="O130" s="980"/>
      <c r="P130" s="980"/>
      <c r="Q130" s="980"/>
      <c r="R130" s="980"/>
      <c r="S130" s="980"/>
      <c r="T130" s="980"/>
      <c r="U130" s="980"/>
      <c r="V130" s="980"/>
      <c r="W130" s="980"/>
      <c r="X130" s="980"/>
      <c r="Y130" s="980"/>
      <c r="Z130" s="980"/>
      <c r="AA130" s="980"/>
      <c r="AB130" s="980"/>
      <c r="AC130" s="980"/>
      <c r="AD130" s="980"/>
      <c r="AE130" s="980"/>
      <c r="AF130" s="980"/>
      <c r="AG130" s="980"/>
      <c r="AH130" s="980"/>
      <c r="AI130" s="980"/>
      <c r="AJ130" s="980"/>
      <c r="AK130" s="980"/>
      <c r="AL130" s="980"/>
      <c r="AM130" s="980"/>
    </row>
    <row r="131" spans="1:39" s="96" customFormat="1" x14ac:dyDescent="0.25">
      <c r="A131" s="70"/>
      <c r="B131" s="307" t="s">
        <v>1124</v>
      </c>
      <c r="C131" s="76">
        <f>A130</f>
        <v>4</v>
      </c>
      <c r="D131" s="991"/>
      <c r="E131" s="981"/>
      <c r="F131" s="981"/>
      <c r="G131" s="981"/>
      <c r="H131" s="981"/>
      <c r="I131" s="981"/>
      <c r="J131" s="981"/>
      <c r="K131" s="981"/>
      <c r="L131" s="981"/>
      <c r="M131" s="981"/>
      <c r="N131" s="981"/>
      <c r="O131" s="981"/>
      <c r="P131" s="981"/>
      <c r="Q131" s="981"/>
      <c r="R131" s="981"/>
      <c r="S131" s="981"/>
      <c r="T131" s="981"/>
      <c r="U131" s="981"/>
      <c r="V131" s="981"/>
      <c r="W131" s="981"/>
      <c r="X131" s="981"/>
      <c r="Y131" s="981"/>
      <c r="Z131" s="981"/>
      <c r="AA131" s="981"/>
      <c r="AB131" s="981"/>
      <c r="AC131" s="981"/>
      <c r="AD131" s="981"/>
      <c r="AE131" s="981"/>
      <c r="AF131" s="981"/>
      <c r="AG131" s="981"/>
      <c r="AH131" s="981"/>
      <c r="AI131" s="981"/>
      <c r="AJ131" s="981"/>
      <c r="AK131" s="981"/>
      <c r="AL131" s="981"/>
      <c r="AM131" s="981"/>
    </row>
    <row r="132" spans="1:39" s="96" customFormat="1" x14ac:dyDescent="0.25">
      <c r="A132" s="120" t="s">
        <v>205</v>
      </c>
      <c r="B132" s="97" t="s">
        <v>226</v>
      </c>
      <c r="C132" s="23">
        <f>A133</f>
        <v>4</v>
      </c>
      <c r="D132" s="1029"/>
      <c r="E132" s="1029" t="str">
        <f>IF(D132&gt;41,$C132,IF(D132&gt;0,C133,IF(D132=0,"0")))</f>
        <v>0</v>
      </c>
      <c r="F132" s="976"/>
      <c r="G132" s="976" t="str">
        <f>IF(F132&gt;41,$C132,IF(F132&gt;0,E133,IF(F132=0,"0")))</f>
        <v>0</v>
      </c>
      <c r="H132" s="976">
        <v>49</v>
      </c>
      <c r="I132" s="976">
        <f>IF(H132&gt;41,$C132,IF(H132&gt;0,G133,IF(H132=0,"0")))</f>
        <v>4</v>
      </c>
      <c r="J132" s="976">
        <v>47</v>
      </c>
      <c r="K132" s="976"/>
      <c r="L132" s="976">
        <v>47</v>
      </c>
      <c r="M132" s="976">
        <f>IF(L132&gt;41,$C132,IF(L132&gt;0,K133,IF(L132=0,"0")))</f>
        <v>4</v>
      </c>
      <c r="N132" s="976">
        <v>47</v>
      </c>
      <c r="O132" s="976">
        <f>IF(N132&gt;41,$C132,IF(N132&gt;0,M133,IF(N132=0,"0")))</f>
        <v>4</v>
      </c>
      <c r="P132" s="976"/>
      <c r="Q132" s="976" t="str">
        <f>IF(P132&gt;41,$C132,IF(P132&gt;0,O133,IF(P132=0,"0")))</f>
        <v>0</v>
      </c>
      <c r="R132" s="1029">
        <v>42</v>
      </c>
      <c r="S132" s="1029">
        <f>IF(R132&gt;41,$C132,IF(R132&gt;0,Q133,IF(R132=0,"0")))</f>
        <v>4</v>
      </c>
      <c r="T132" s="976">
        <v>49</v>
      </c>
      <c r="U132" s="976">
        <f>IF(T132&gt;41,$C132,IF(T132&gt;0,S133,IF(T132=0,"0")))</f>
        <v>4</v>
      </c>
      <c r="V132" s="976">
        <v>46</v>
      </c>
      <c r="W132" s="976">
        <f>IF(V132&gt;41,$C132,IF(V132&gt;0,U133,IF(V132=0,"0")))</f>
        <v>4</v>
      </c>
      <c r="X132" s="976">
        <v>48</v>
      </c>
      <c r="Y132" s="976">
        <f>IF(X132&gt;41,$C132,IF(X132&gt;0,W133,IF(X132=0,"0")))</f>
        <v>4</v>
      </c>
      <c r="Z132" s="976"/>
      <c r="AA132" s="976" t="str">
        <f>IF(Z132&gt;41,$C132,IF(Z132&gt;0,Y133,IF(Z132=0,"0")))</f>
        <v>0</v>
      </c>
      <c r="AB132" s="976">
        <v>46</v>
      </c>
      <c r="AC132" s="976">
        <f>IF(AB132&gt;41,$C132,IF(AB132&gt;0,AA133,IF(AB132=0,"0")))</f>
        <v>4</v>
      </c>
      <c r="AD132" s="976">
        <v>43</v>
      </c>
      <c r="AE132" s="976">
        <f>IF(AD132&gt;41,$C132,IF(AD132&gt;0,AC133,IF(AD132=0,"0")))</f>
        <v>4</v>
      </c>
      <c r="AF132" s="1029">
        <v>45</v>
      </c>
      <c r="AG132" s="1029">
        <f>IF(AF132&gt;41,$C132,IF(AF132&gt;0,AE133,IF(AF132=0,"0")))</f>
        <v>4</v>
      </c>
      <c r="AH132" s="976"/>
      <c r="AI132" s="976" t="str">
        <f>IF(AH132&gt;41,$C132,IF(AH132&gt;0,AG133,IF(AH132=0,"0")))</f>
        <v>0</v>
      </c>
      <c r="AJ132" s="976">
        <v>43</v>
      </c>
      <c r="AK132" s="976">
        <f>IF(AJ132&gt;41,$C132,IF(AJ132&gt;0,AI133,IF(AJ132=0,"0")))</f>
        <v>4</v>
      </c>
      <c r="AL132" s="1029"/>
      <c r="AM132" s="1029" t="str">
        <f>IF(AL132&gt;41,$C132,IF(AL132&gt;0,AK133,IF(AL132=0,"0")))</f>
        <v>0</v>
      </c>
    </row>
    <row r="133" spans="1:39" s="96" customFormat="1" x14ac:dyDescent="0.25">
      <c r="A133" s="458">
        <v>4</v>
      </c>
      <c r="B133" s="97" t="s">
        <v>222</v>
      </c>
      <c r="C133" s="86">
        <v>0</v>
      </c>
      <c r="D133" s="1030"/>
      <c r="E133" s="1030"/>
      <c r="F133" s="977"/>
      <c r="G133" s="977"/>
      <c r="H133" s="977"/>
      <c r="I133" s="977"/>
      <c r="J133" s="977"/>
      <c r="K133" s="977"/>
      <c r="L133" s="977"/>
      <c r="M133" s="977"/>
      <c r="N133" s="977"/>
      <c r="O133" s="977"/>
      <c r="P133" s="977"/>
      <c r="Q133" s="977"/>
      <c r="R133" s="1030"/>
      <c r="S133" s="1030"/>
      <c r="T133" s="977"/>
      <c r="U133" s="977"/>
      <c r="V133" s="977"/>
      <c r="W133" s="977"/>
      <c r="X133" s="977"/>
      <c r="Y133" s="977"/>
      <c r="Z133" s="977"/>
      <c r="AA133" s="977"/>
      <c r="AB133" s="977"/>
      <c r="AC133" s="977"/>
      <c r="AD133" s="977"/>
      <c r="AE133" s="977"/>
      <c r="AF133" s="1030"/>
      <c r="AG133" s="1030"/>
      <c r="AH133" s="977"/>
      <c r="AI133" s="977"/>
      <c r="AJ133" s="977"/>
      <c r="AK133" s="977"/>
      <c r="AL133" s="1030"/>
      <c r="AM133" s="1030"/>
    </row>
    <row r="134" spans="1:39" s="96" customFormat="1" x14ac:dyDescent="0.25">
      <c r="A134" s="124" t="s">
        <v>206</v>
      </c>
      <c r="B134" s="307" t="s">
        <v>208</v>
      </c>
      <c r="C134" s="76">
        <f>A135</f>
        <v>4</v>
      </c>
      <c r="D134" s="979"/>
      <c r="E134" s="979" t="str">
        <f>IF(D134&gt;39,$C134,IF(D134&gt;0,$C135,IF(D134=0,"0")))</f>
        <v>0</v>
      </c>
      <c r="F134" s="979"/>
      <c r="G134" s="979" t="str">
        <f>IF(F134&gt;39,$C134,IF(F134&gt;0,$C135,IF(F134=0,"0")))</f>
        <v>0</v>
      </c>
      <c r="H134" s="979">
        <v>47</v>
      </c>
      <c r="I134" s="979">
        <f>IF(H134&gt;39,$C134,IF(H134&gt;0,$C135,IF(H134=0,"0")))</f>
        <v>4</v>
      </c>
      <c r="J134" s="979">
        <v>44</v>
      </c>
      <c r="K134" s="979"/>
      <c r="L134" s="979">
        <v>47</v>
      </c>
      <c r="M134" s="979">
        <f>IF(L134&gt;39,$C134,IF(L134&gt;0,$C135,IF(L134=0,"0")))</f>
        <v>4</v>
      </c>
      <c r="N134" s="979">
        <v>47</v>
      </c>
      <c r="O134" s="979">
        <f>IF(N134&gt;39,$C134,IF(N134&gt;0,$C135,IF(N134=0,"0")))</f>
        <v>4</v>
      </c>
      <c r="P134" s="979"/>
      <c r="Q134" s="979" t="str">
        <f>IF(P134&gt;39,$C134,IF(P134&gt;0,$C135,IF(P134=0,"0")))</f>
        <v>0</v>
      </c>
      <c r="R134" s="979">
        <v>48</v>
      </c>
      <c r="S134" s="979">
        <f>IF(R134&gt;39,$C134,IF(R134&gt;0,$C135,IF(R134=0,"0")))</f>
        <v>4</v>
      </c>
      <c r="T134" s="979">
        <v>47</v>
      </c>
      <c r="U134" s="979">
        <f>IF(T134&gt;39,$C134,IF(T134&gt;0,$C135,IF(T134=0,"0")))</f>
        <v>4</v>
      </c>
      <c r="V134" s="979">
        <v>44</v>
      </c>
      <c r="W134" s="979">
        <f>IF(V134&gt;39,$C134,IF(V134&gt;0,$C135,IF(V134=0,"0")))</f>
        <v>4</v>
      </c>
      <c r="X134" s="979">
        <v>50</v>
      </c>
      <c r="Y134" s="979">
        <f>IF(X134&gt;39,$C134,IF(X134&gt;0,$C135,IF(X134=0,"0")))</f>
        <v>4</v>
      </c>
      <c r="Z134" s="979"/>
      <c r="AA134" s="979" t="str">
        <f>IF(Z134&gt;39,$C134,IF(Z134&gt;0,$C135,IF(Z134=0,"0")))</f>
        <v>0</v>
      </c>
      <c r="AB134" s="979">
        <v>48</v>
      </c>
      <c r="AC134" s="979">
        <f>IF(AB134&gt;39,$C134,IF(AB134&gt;0,$C135,IF(AB134=0,"0")))</f>
        <v>4</v>
      </c>
      <c r="AD134" s="979">
        <v>46</v>
      </c>
      <c r="AE134" s="979">
        <f>IF(AD134&gt;39,$C134,IF(AD134&gt;0,$C135,IF(AD134=0,"0")))</f>
        <v>4</v>
      </c>
      <c r="AF134" s="979">
        <v>43</v>
      </c>
      <c r="AG134" s="979">
        <f>IF(AF134&gt;39,$C134,IF(AF134&gt;0,$C135,IF(AF134=0,"0")))</f>
        <v>4</v>
      </c>
      <c r="AH134" s="979"/>
      <c r="AI134" s="979" t="str">
        <f>IF(AH134&gt;39,$C134,IF(AH134&gt;0,$C135,IF(AH134=0,"0")))</f>
        <v>0</v>
      </c>
      <c r="AJ134" s="979">
        <v>38</v>
      </c>
      <c r="AK134" s="979">
        <f>IF(AJ134&gt;39,$C134,IF(AJ134&gt;0,$C135,IF(AJ134=0,"0")))</f>
        <v>0</v>
      </c>
      <c r="AL134" s="979"/>
      <c r="AM134" s="979" t="str">
        <f>IF(AL134&gt;39,$C134,IF(AL134&gt;0,$C135,IF(AL134=0,"0")))</f>
        <v>0</v>
      </c>
    </row>
    <row r="135" spans="1:39" s="96" customFormat="1" x14ac:dyDescent="0.25">
      <c r="A135" s="414">
        <v>4</v>
      </c>
      <c r="B135" s="288" t="s">
        <v>197</v>
      </c>
      <c r="C135" s="26">
        <v>0</v>
      </c>
      <c r="D135" s="980"/>
      <c r="E135" s="980"/>
      <c r="F135" s="980"/>
      <c r="G135" s="980"/>
      <c r="H135" s="980"/>
      <c r="I135" s="980"/>
      <c r="J135" s="980"/>
      <c r="K135" s="980"/>
      <c r="L135" s="980"/>
      <c r="M135" s="980"/>
      <c r="N135" s="980"/>
      <c r="O135" s="980"/>
      <c r="P135" s="980"/>
      <c r="Q135" s="980"/>
      <c r="R135" s="980"/>
      <c r="S135" s="980"/>
      <c r="T135" s="980"/>
      <c r="U135" s="980"/>
      <c r="V135" s="980"/>
      <c r="W135" s="980"/>
      <c r="X135" s="980"/>
      <c r="Y135" s="980"/>
      <c r="Z135" s="980"/>
      <c r="AA135" s="980"/>
      <c r="AB135" s="980"/>
      <c r="AC135" s="980"/>
      <c r="AD135" s="980"/>
      <c r="AE135" s="980"/>
      <c r="AF135" s="980"/>
      <c r="AG135" s="980"/>
      <c r="AH135" s="980"/>
      <c r="AI135" s="980"/>
      <c r="AJ135" s="980"/>
      <c r="AK135" s="980"/>
      <c r="AL135" s="980"/>
      <c r="AM135" s="980"/>
    </row>
    <row r="136" spans="1:39" s="96" customFormat="1" x14ac:dyDescent="0.25">
      <c r="A136" s="120" t="s">
        <v>207</v>
      </c>
      <c r="B136" s="97" t="s">
        <v>223</v>
      </c>
      <c r="C136" s="23">
        <f>A137</f>
        <v>4</v>
      </c>
      <c r="D136" s="1029"/>
      <c r="E136" s="1029" t="str">
        <f>IF(D136&gt;37,$C136,IF(D136&gt;0,$C137,IF(D136=0,"0")))</f>
        <v>0</v>
      </c>
      <c r="F136" s="976"/>
      <c r="G136" s="976" t="str">
        <f>IF(F136&gt;39,$C136,IF(F136&gt;0,$C137,IF(F136=0,"0")))</f>
        <v>0</v>
      </c>
      <c r="H136" s="976">
        <v>49</v>
      </c>
      <c r="I136" s="976">
        <f>IF(H136&gt;39,$C136,IF(H136&gt;0,$C137,IF(H136=0,"0")))</f>
        <v>4</v>
      </c>
      <c r="J136" s="976">
        <v>46</v>
      </c>
      <c r="K136" s="976"/>
      <c r="L136" s="976">
        <v>45</v>
      </c>
      <c r="M136" s="976">
        <f>IF(L136&gt;39,$C136,IF(L136&gt;0,$C137,IF(L136=0,"0")))</f>
        <v>4</v>
      </c>
      <c r="N136" s="976">
        <v>45</v>
      </c>
      <c r="O136" s="976">
        <f>IF(N136&gt;39,$C136,IF(N136&gt;0,$C137,IF(N136=0,"0")))</f>
        <v>4</v>
      </c>
      <c r="P136" s="976"/>
      <c r="Q136" s="976" t="str">
        <f>IF(P136&gt;39,$C136,IF(P136&gt;0,$C137,IF(P136=0,"0")))</f>
        <v>0</v>
      </c>
      <c r="R136" s="976">
        <v>45</v>
      </c>
      <c r="S136" s="1029">
        <f>IF(R136&gt;39,$C136,IF(R136&gt;0,$C137,IF(R136=0,"0")))</f>
        <v>4</v>
      </c>
      <c r="T136" s="976">
        <v>46</v>
      </c>
      <c r="U136" s="976">
        <f>IF(T136&gt;39,$C136,IF(T136&gt;0,$C137,IF(T136=0,"0")))</f>
        <v>4</v>
      </c>
      <c r="V136" s="976">
        <v>45</v>
      </c>
      <c r="W136" s="976">
        <f>IF(V136&gt;39,$C136,IF(V136&gt;0,$C137,IF(V136=0,"0")))</f>
        <v>4</v>
      </c>
      <c r="X136" s="976">
        <v>45</v>
      </c>
      <c r="Y136" s="976">
        <f>IF(X136&gt;39,$C136,IF(X136&gt;0,$C137,IF(X136=0,"0")))</f>
        <v>4</v>
      </c>
      <c r="Z136" s="976"/>
      <c r="AA136" s="976" t="str">
        <f>IF(Z136&gt;39,$C136,IF(Z136&gt;0,$C137,IF(Z136=0,"0")))</f>
        <v>0</v>
      </c>
      <c r="AB136" s="976">
        <v>48</v>
      </c>
      <c r="AC136" s="976">
        <f>IF(AB136&gt;39,$C136,IF(AB136&gt;0,$C137,IF(AB136=0,"0")))</f>
        <v>4</v>
      </c>
      <c r="AD136" s="976">
        <v>45</v>
      </c>
      <c r="AE136" s="976">
        <f>IF(AD136&gt;39,$C136,IF(AD136&gt;0,$C137,IF(AD136=0,"0")))</f>
        <v>4</v>
      </c>
      <c r="AF136" s="976">
        <v>46</v>
      </c>
      <c r="AG136" s="1029">
        <f>IF(AF136&gt;39,$C136,IF(AF136&gt;0,$C137,IF(AF136=0,"0")))</f>
        <v>4</v>
      </c>
      <c r="AH136" s="976"/>
      <c r="AI136" s="976" t="str">
        <f>IF(AH136&gt;39,$C136,IF(AH136&gt;0,$C137,IF(AH136=0,"0")))</f>
        <v>0</v>
      </c>
      <c r="AJ136" s="976">
        <v>46</v>
      </c>
      <c r="AK136" s="976">
        <f>IF(AJ136&gt;39,$C136,IF(AJ136&gt;0,$C137,IF(AJ136=0,"0")))</f>
        <v>4</v>
      </c>
      <c r="AL136" s="976"/>
      <c r="AM136" s="1029" t="str">
        <f>IF(AL136&gt;39,$C136,IF(AL136&gt;0,$C137,IF(AL136=0,"0")))</f>
        <v>0</v>
      </c>
    </row>
    <row r="137" spans="1:39" s="96" customFormat="1" x14ac:dyDescent="0.25">
      <c r="A137" s="279">
        <v>4</v>
      </c>
      <c r="B137" s="97" t="s">
        <v>224</v>
      </c>
      <c r="C137" s="23">
        <v>0</v>
      </c>
      <c r="D137" s="1030"/>
      <c r="E137" s="1030"/>
      <c r="F137" s="977"/>
      <c r="G137" s="977"/>
      <c r="H137" s="978"/>
      <c r="I137" s="978"/>
      <c r="J137" s="978"/>
      <c r="K137" s="978"/>
      <c r="L137" s="978"/>
      <c r="M137" s="978"/>
      <c r="N137" s="978"/>
      <c r="O137" s="978"/>
      <c r="P137" s="978"/>
      <c r="Q137" s="978"/>
      <c r="R137" s="978"/>
      <c r="S137" s="1033"/>
      <c r="T137" s="978"/>
      <c r="U137" s="978"/>
      <c r="V137" s="978"/>
      <c r="W137" s="978"/>
      <c r="X137" s="978"/>
      <c r="Y137" s="978"/>
      <c r="Z137" s="978"/>
      <c r="AA137" s="978"/>
      <c r="AB137" s="978"/>
      <c r="AC137" s="978"/>
      <c r="AD137" s="978"/>
      <c r="AE137" s="978"/>
      <c r="AF137" s="978"/>
      <c r="AG137" s="1033"/>
      <c r="AH137" s="978"/>
      <c r="AI137" s="978"/>
      <c r="AJ137" s="978"/>
      <c r="AK137" s="978"/>
      <c r="AL137" s="977"/>
      <c r="AM137" s="1030"/>
    </row>
    <row r="138" spans="1:39" s="96" customFormat="1" x14ac:dyDescent="0.25">
      <c r="A138" s="422" t="s">
        <v>217</v>
      </c>
      <c r="B138" s="110" t="s">
        <v>218</v>
      </c>
      <c r="C138" s="433">
        <v>4</v>
      </c>
      <c r="D138" s="979"/>
      <c r="E138" s="979" t="str">
        <f>IF(D138&gt;100,$C138,IF(D138&gt;50,$C139,IF(D138&gt;0,$C140,IF(D138=0,"0"))))</f>
        <v>0</v>
      </c>
      <c r="F138" s="979"/>
      <c r="G138" s="979" t="str">
        <f>IF(F138&gt;100,$C138,IF(F138&gt;50,$C139,IF(F138&gt;0,$C140,IF(F138=0,"0"))))</f>
        <v>0</v>
      </c>
      <c r="H138" s="979">
        <v>120</v>
      </c>
      <c r="I138" s="979">
        <f>IF(H138&gt;100,$C138,IF(H138&gt;50,$C139,IF(H138&gt;0,$C140,IF(H138=0,"0"))))</f>
        <v>4</v>
      </c>
      <c r="J138" s="979"/>
      <c r="K138" s="979" t="str">
        <f>IF(J138&gt;100,$C138,IF(J138&gt;50,$C139,IF(J138&gt;0,$C140,IF(J138=0,"0"))))</f>
        <v>0</v>
      </c>
      <c r="L138" s="979">
        <v>25</v>
      </c>
      <c r="M138" s="979">
        <f>IF(L138&gt;100,$C138,IF(L138&gt;50,$C139,IF(L138&gt;0,$C140,IF(L138=0,"0"))))</f>
        <v>0</v>
      </c>
      <c r="N138" s="979"/>
      <c r="O138" s="979" t="str">
        <f>IF(N138&gt;100,$C138,IF(N138&gt;50,$C139,IF(N138&gt;0,$C140,IF(N138=0,"0"))))</f>
        <v>0</v>
      </c>
      <c r="P138" s="979"/>
      <c r="Q138" s="979" t="str">
        <f>IF(P138&gt;100,$C138,IF(P138&gt;50,$C139,IF(P138&gt;0,$C140,IF(P138=0,"0"))))</f>
        <v>0</v>
      </c>
      <c r="R138" s="979"/>
      <c r="S138" s="979" t="str">
        <f>IF(R138&gt;100,$C138,IF(R138&gt;50,$C139,IF(R138&gt;0,$C140,IF(R138=0,"0"))))</f>
        <v>0</v>
      </c>
      <c r="T138" s="979">
        <v>65</v>
      </c>
      <c r="U138" s="979">
        <f>IF(T138&gt;100,$C138,IF(T138&gt;50,$C139,IF(T138&gt;0,$C140,IF(T138=0,"0"))))</f>
        <v>2</v>
      </c>
      <c r="V138" s="979">
        <v>65</v>
      </c>
      <c r="W138" s="979">
        <f>IF(V138&gt;100,$C138,IF(V138&gt;50,$C139,IF(V138&gt;0,$C140,IF(V138=0,"0"))))</f>
        <v>2</v>
      </c>
      <c r="X138" s="979">
        <v>50</v>
      </c>
      <c r="Y138" s="979">
        <f>IF(X138&gt;100,$C138,IF(X138&gt;50,$C139,IF(X138&gt;0,$C140,IF(X138=0,"0"))))</f>
        <v>0</v>
      </c>
      <c r="Z138" s="979"/>
      <c r="AA138" s="979" t="str">
        <f>IF(Z138&gt;100,$C138,IF(Z138&gt;50,$C139,IF(Z138&gt;0,$C140,IF(Z138=0,"0"))))</f>
        <v>0</v>
      </c>
      <c r="AB138" s="979"/>
      <c r="AC138" s="979" t="str">
        <f>IF(AB138&gt;100,$C138,IF(AB138&gt;50,$C139,IF(AB138&gt;0,$C140,IF(AB138=0,"0"))))</f>
        <v>0</v>
      </c>
      <c r="AD138" s="979"/>
      <c r="AE138" s="979" t="str">
        <f>IF(AD138&gt;100,$C138,IF(AD138&gt;50,$C139,IF(AD138&gt;0,$C140,IF(AD138=0,"0"))))</f>
        <v>0</v>
      </c>
      <c r="AF138" s="979">
        <v>51</v>
      </c>
      <c r="AG138" s="979">
        <f>IF(AF138&gt;100,$C138,IF(AF138&gt;50,$C139,IF(AF138&gt;0,$C140,IF(AF138=0,"0"))))</f>
        <v>2</v>
      </c>
      <c r="AH138" s="979"/>
      <c r="AI138" s="979" t="str">
        <f>IF(AH138&gt;100,$C138,IF(AH138&gt;50,$C139,IF(AH138&gt;0,$C140,IF(AH138=0,"0"))))</f>
        <v>0</v>
      </c>
      <c r="AJ138" s="979">
        <v>60</v>
      </c>
      <c r="AK138" s="979">
        <f>IF(AJ138&gt;100,$C138,IF(AJ138&gt;50,$C139,IF(AJ138&gt;0,$C140,IF(AJ138=0,"0"))))</f>
        <v>2</v>
      </c>
      <c r="AL138" s="443"/>
      <c r="AM138" s="444"/>
    </row>
    <row r="139" spans="1:39" s="96" customFormat="1" ht="13.8" x14ac:dyDescent="0.3">
      <c r="A139" s="452">
        <v>4</v>
      </c>
      <c r="B139" s="266" t="s">
        <v>673</v>
      </c>
      <c r="C139" s="433">
        <v>2</v>
      </c>
      <c r="D139" s="980"/>
      <c r="E139" s="980"/>
      <c r="F139" s="980"/>
      <c r="G139" s="980"/>
      <c r="H139" s="980"/>
      <c r="I139" s="980"/>
      <c r="J139" s="980"/>
      <c r="K139" s="980"/>
      <c r="L139" s="980"/>
      <c r="M139" s="980"/>
      <c r="N139" s="980"/>
      <c r="O139" s="980"/>
      <c r="P139" s="980"/>
      <c r="Q139" s="980"/>
      <c r="R139" s="980"/>
      <c r="S139" s="980"/>
      <c r="T139" s="980"/>
      <c r="U139" s="980"/>
      <c r="V139" s="980"/>
      <c r="W139" s="980"/>
      <c r="X139" s="980"/>
      <c r="Y139" s="980"/>
      <c r="Z139" s="980"/>
      <c r="AA139" s="980"/>
      <c r="AB139" s="980"/>
      <c r="AC139" s="980"/>
      <c r="AD139" s="980"/>
      <c r="AE139" s="980"/>
      <c r="AF139" s="980"/>
      <c r="AG139" s="980"/>
      <c r="AH139" s="980"/>
      <c r="AI139" s="980"/>
      <c r="AJ139" s="980"/>
      <c r="AK139" s="980"/>
      <c r="AL139" s="443"/>
      <c r="AM139" s="444"/>
    </row>
    <row r="140" spans="1:39" s="96" customFormat="1" ht="13.8" x14ac:dyDescent="0.3">
      <c r="A140" s="453"/>
      <c r="B140" s="266" t="s">
        <v>674</v>
      </c>
      <c r="C140" s="433">
        <v>0</v>
      </c>
      <c r="D140" s="981"/>
      <c r="E140" s="981"/>
      <c r="F140" s="981"/>
      <c r="G140" s="981"/>
      <c r="H140" s="981"/>
      <c r="I140" s="981"/>
      <c r="J140" s="981"/>
      <c r="K140" s="981"/>
      <c r="L140" s="981"/>
      <c r="M140" s="981"/>
      <c r="N140" s="981"/>
      <c r="O140" s="981"/>
      <c r="P140" s="981"/>
      <c r="Q140" s="981"/>
      <c r="R140" s="981"/>
      <c r="S140" s="981"/>
      <c r="T140" s="981"/>
      <c r="U140" s="981"/>
      <c r="V140" s="981"/>
      <c r="W140" s="981"/>
      <c r="X140" s="981"/>
      <c r="Y140" s="981"/>
      <c r="Z140" s="981"/>
      <c r="AA140" s="981"/>
      <c r="AB140" s="981"/>
      <c r="AC140" s="981"/>
      <c r="AD140" s="981"/>
      <c r="AE140" s="981"/>
      <c r="AF140" s="981"/>
      <c r="AG140" s="981"/>
      <c r="AH140" s="981"/>
      <c r="AI140" s="981"/>
      <c r="AJ140" s="981"/>
      <c r="AK140" s="981"/>
      <c r="AL140" s="443"/>
      <c r="AM140" s="444"/>
    </row>
    <row r="141" spans="1:39" s="96" customFormat="1" x14ac:dyDescent="0.25">
      <c r="A141" s="268" t="s">
        <v>655</v>
      </c>
      <c r="B141" s="294" t="s">
        <v>659</v>
      </c>
      <c r="C141" s="434">
        <f>A142</f>
        <v>3</v>
      </c>
      <c r="D141" s="423"/>
      <c r="E141" s="423"/>
      <c r="F141" s="423"/>
      <c r="G141" s="423"/>
      <c r="H141" s="976">
        <v>0</v>
      </c>
      <c r="I141" s="976" t="str">
        <f>IF(H141&gt;10,$C141,IF(H141&gt;5,$C142,IF(H141&gt;0,$C143,IF(H141=0,"0"))))</f>
        <v>0</v>
      </c>
      <c r="J141" s="976">
        <v>0</v>
      </c>
      <c r="K141" s="976" t="str">
        <f>IF(J141&gt;10,$C141,IF(J141&gt;5,$C142,IF(J141&gt;0,$C143,IF(J141=0,"0"))))</f>
        <v>0</v>
      </c>
      <c r="L141" s="976">
        <v>0</v>
      </c>
      <c r="M141" s="976" t="str">
        <f>IF(L141&gt;10,$C141,IF(L141&gt;5,$C142,IF(L141&gt;0,$C143,IF(L141=0,"0"))))</f>
        <v>0</v>
      </c>
      <c r="N141" s="976">
        <v>0</v>
      </c>
      <c r="O141" s="976" t="str">
        <f>IF(N141&gt;10,$C141,IF(N141&gt;5,$C142,IF(N141&gt;0,$C143,IF(N141=0,"0"))))</f>
        <v>0</v>
      </c>
      <c r="P141" s="423"/>
      <c r="Q141" s="423"/>
      <c r="R141" s="976">
        <v>0</v>
      </c>
      <c r="S141" s="976" t="str">
        <f>IF(R141&gt;10,$C141,IF(R141&gt;5,$C142,IF(R141&gt;0,$C143,IF(R141=0,"0"))))</f>
        <v>0</v>
      </c>
      <c r="T141" s="976">
        <v>0</v>
      </c>
      <c r="U141" s="976" t="str">
        <f>IF(T141&gt;10,$C141,IF(T141&gt;5,$C142,IF(T141&gt;0,$C143,IF(T141=0,"0"))))</f>
        <v>0</v>
      </c>
      <c r="V141" s="976">
        <v>0</v>
      </c>
      <c r="W141" s="976" t="str">
        <f>IF(V141&gt;10,$C141,IF(V141&gt;5,$C142,IF(V141&gt;0,$C143,IF(V141=0,"0"))))</f>
        <v>0</v>
      </c>
      <c r="X141" s="976">
        <v>0</v>
      </c>
      <c r="Y141" s="976" t="str">
        <f>IF(X141&gt;10,$C141,IF(X141&gt;5,$C142,IF(X141&gt;0,$C143,IF(X141=0,"0"))))</f>
        <v>0</v>
      </c>
      <c r="Z141" s="423"/>
      <c r="AA141" s="423"/>
      <c r="AB141" s="976">
        <v>0</v>
      </c>
      <c r="AC141" s="976" t="str">
        <f>IF(AB141&gt;10,$C141,IF(AB141&gt;5,$C142,IF(AB141&gt;0,$C143,IF(AB141=0,"0"))))</f>
        <v>0</v>
      </c>
      <c r="AD141" s="976">
        <v>10</v>
      </c>
      <c r="AE141" s="976">
        <f>IF(AD141&gt;10,$C141,IF(AD141&gt;5,$C142,IF(AD141&gt;0,$C143,IF(AD141=0,"0"))))</f>
        <v>2</v>
      </c>
      <c r="AF141" s="976">
        <v>0</v>
      </c>
      <c r="AG141" s="976" t="str">
        <f>IF(AF141&gt;10,$C141,IF(AF141&gt;5,$C142,IF(AF141&gt;0,$C143,IF(AF141=0,"0"))))</f>
        <v>0</v>
      </c>
      <c r="AH141" s="423"/>
      <c r="AI141" s="423"/>
      <c r="AJ141" s="976">
        <v>0</v>
      </c>
      <c r="AK141" s="976" t="str">
        <f>IF(AJ141&gt;10,$C141,IF(AJ141&gt;5,$C142,IF(AJ141&gt;0,$C143,IF(AJ141=0,"0"))))</f>
        <v>0</v>
      </c>
      <c r="AL141" s="443"/>
      <c r="AM141" s="444"/>
    </row>
    <row r="142" spans="1:39" s="96" customFormat="1" x14ac:dyDescent="0.25">
      <c r="A142" s="427">
        <v>3</v>
      </c>
      <c r="B142" s="294" t="s">
        <v>658</v>
      </c>
      <c r="C142" s="434">
        <v>2</v>
      </c>
      <c r="D142" s="423"/>
      <c r="E142" s="423"/>
      <c r="F142" s="423"/>
      <c r="G142" s="423"/>
      <c r="H142" s="977"/>
      <c r="I142" s="977"/>
      <c r="J142" s="977"/>
      <c r="K142" s="977"/>
      <c r="L142" s="977"/>
      <c r="M142" s="977"/>
      <c r="N142" s="977"/>
      <c r="O142" s="977"/>
      <c r="P142" s="423"/>
      <c r="Q142" s="423"/>
      <c r="R142" s="977"/>
      <c r="S142" s="977"/>
      <c r="T142" s="977"/>
      <c r="U142" s="977"/>
      <c r="V142" s="977"/>
      <c r="W142" s="977"/>
      <c r="X142" s="977"/>
      <c r="Y142" s="977"/>
      <c r="Z142" s="423"/>
      <c r="AA142" s="423"/>
      <c r="AB142" s="977"/>
      <c r="AC142" s="977"/>
      <c r="AD142" s="977"/>
      <c r="AE142" s="977"/>
      <c r="AF142" s="977"/>
      <c r="AG142" s="977"/>
      <c r="AH142" s="423"/>
      <c r="AI142" s="423"/>
      <c r="AJ142" s="977"/>
      <c r="AK142" s="977"/>
      <c r="AL142" s="443"/>
      <c r="AM142" s="444"/>
    </row>
    <row r="143" spans="1:39" s="96" customFormat="1" x14ac:dyDescent="0.25">
      <c r="A143" s="427"/>
      <c r="B143" s="294" t="s">
        <v>656</v>
      </c>
      <c r="C143" s="434">
        <v>1</v>
      </c>
      <c r="D143" s="423"/>
      <c r="E143" s="423"/>
      <c r="F143" s="423"/>
      <c r="G143" s="423"/>
      <c r="H143" s="977"/>
      <c r="I143" s="977"/>
      <c r="J143" s="977"/>
      <c r="K143" s="977"/>
      <c r="L143" s="977"/>
      <c r="M143" s="977"/>
      <c r="N143" s="977"/>
      <c r="O143" s="977"/>
      <c r="P143" s="423"/>
      <c r="Q143" s="423"/>
      <c r="R143" s="977"/>
      <c r="S143" s="977"/>
      <c r="T143" s="977"/>
      <c r="U143" s="977"/>
      <c r="V143" s="977"/>
      <c r="W143" s="977"/>
      <c r="X143" s="977"/>
      <c r="Y143" s="977"/>
      <c r="Z143" s="423"/>
      <c r="AA143" s="423"/>
      <c r="AB143" s="977"/>
      <c r="AC143" s="977"/>
      <c r="AD143" s="977"/>
      <c r="AE143" s="977"/>
      <c r="AF143" s="977"/>
      <c r="AG143" s="977"/>
      <c r="AH143" s="423"/>
      <c r="AI143" s="423"/>
      <c r="AJ143" s="977"/>
      <c r="AK143" s="977"/>
      <c r="AL143" s="443"/>
      <c r="AM143" s="444"/>
    </row>
    <row r="144" spans="1:39" s="96" customFormat="1" x14ac:dyDescent="0.25">
      <c r="A144" s="428"/>
      <c r="B144" s="294" t="s">
        <v>657</v>
      </c>
      <c r="C144" s="434">
        <v>0</v>
      </c>
      <c r="D144" s="423"/>
      <c r="E144" s="423"/>
      <c r="F144" s="423"/>
      <c r="G144" s="423"/>
      <c r="H144" s="978"/>
      <c r="I144" s="978"/>
      <c r="J144" s="978"/>
      <c r="K144" s="978"/>
      <c r="L144" s="978"/>
      <c r="M144" s="978"/>
      <c r="N144" s="978"/>
      <c r="O144" s="978"/>
      <c r="P144" s="423"/>
      <c r="Q144" s="423"/>
      <c r="R144" s="978"/>
      <c r="S144" s="978"/>
      <c r="T144" s="978"/>
      <c r="U144" s="978"/>
      <c r="V144" s="978"/>
      <c r="W144" s="978"/>
      <c r="X144" s="978"/>
      <c r="Y144" s="978"/>
      <c r="Z144" s="423"/>
      <c r="AA144" s="423"/>
      <c r="AB144" s="978"/>
      <c r="AC144" s="978"/>
      <c r="AD144" s="978"/>
      <c r="AE144" s="978"/>
      <c r="AF144" s="978"/>
      <c r="AG144" s="978"/>
      <c r="AH144" s="423"/>
      <c r="AI144" s="423"/>
      <c r="AJ144" s="978"/>
      <c r="AK144" s="978"/>
      <c r="AL144" s="443"/>
      <c r="AM144" s="444"/>
    </row>
    <row r="145" spans="1:39" s="96" customFormat="1" x14ac:dyDescent="0.25">
      <c r="A145" s="96">
        <f>A109+A112+A115+A118+A121+A124+A127+A130+A133+A135+A137+A142+A139</f>
        <v>45</v>
      </c>
      <c r="C145" s="83"/>
      <c r="D145" s="83"/>
      <c r="E145" s="83" t="e">
        <f>#REF!+#REF!+#REF!+#REF!+#REF!+#REF!+#REF!+#REF!+#REF!+#REF!+#REF!</f>
        <v>#REF!</v>
      </c>
      <c r="F145" s="83"/>
      <c r="G145" s="83" t="e">
        <f>#REF!+#REF!+#REF!+#REF!+#REF!+#REF!+#REF!+#REF!+#REF!+#REF!+#REF!</f>
        <v>#REF!</v>
      </c>
      <c r="H145" s="83"/>
      <c r="I145" s="83">
        <f>SUM(I108:I144)</f>
        <v>28</v>
      </c>
      <c r="J145" s="83"/>
      <c r="K145" s="83">
        <f>SUM(K108:K144)</f>
        <v>11</v>
      </c>
      <c r="L145" s="83"/>
      <c r="M145" s="83">
        <f>SUM(M108:M144)</f>
        <v>23</v>
      </c>
      <c r="N145" s="83"/>
      <c r="O145" s="83">
        <f>SUM(O108:O144)</f>
        <v>23</v>
      </c>
      <c r="P145" s="83"/>
      <c r="Q145" s="83" t="e">
        <f>#REF!+#REF!+#REF!+#REF!+#REF!+#REF!+#REF!+#REF!+#REF!+#REF!+#REF!</f>
        <v>#REF!</v>
      </c>
      <c r="R145" s="83"/>
      <c r="S145" s="83">
        <f>SUM(S108:S144)</f>
        <v>27</v>
      </c>
      <c r="T145" s="83"/>
      <c r="U145" s="83">
        <f>SUM(U108:U144)</f>
        <v>34</v>
      </c>
      <c r="V145" s="83"/>
      <c r="W145" s="83">
        <f>SUM(W108:W144)</f>
        <v>34</v>
      </c>
      <c r="X145" s="83"/>
      <c r="Y145" s="83">
        <f>SUM(Y108:Y144)</f>
        <v>28</v>
      </c>
      <c r="Z145" s="83"/>
      <c r="AA145" s="83" t="e">
        <f>#REF!+#REF!+#REF!+#REF!+#REF!+#REF!+#REF!+#REF!+#REF!+#REF!+#REF!</f>
        <v>#REF!</v>
      </c>
      <c r="AB145" s="83"/>
      <c r="AC145" s="83">
        <f>SUM(AC108:AC144)</f>
        <v>31</v>
      </c>
      <c r="AD145" s="83"/>
      <c r="AE145" s="83">
        <f>SUM(AE108:AE144)</f>
        <v>27</v>
      </c>
      <c r="AF145" s="83"/>
      <c r="AG145" s="83">
        <f>SUM(AG108:AG144)</f>
        <v>26</v>
      </c>
      <c r="AH145" s="83"/>
      <c r="AI145" s="83" t="e">
        <f>#REF!+#REF!+#REF!+#REF!+#REF!+#REF!+#REF!+#REF!+#REF!+#REF!+#REF!</f>
        <v>#REF!</v>
      </c>
      <c r="AJ145" s="83"/>
      <c r="AK145" s="83">
        <f>SUM(AK108:AK144)</f>
        <v>21</v>
      </c>
      <c r="AL145" s="83"/>
      <c r="AM145" s="83" t="e">
        <f>#REF!+#REF!+#REF!+#REF!+#REF!+#REF!+#REF!+#REF!+#REF!+#REF!+#REF!</f>
        <v>#REF!</v>
      </c>
    </row>
    <row r="146" spans="1:39" x14ac:dyDescent="0.25">
      <c r="A146" s="96"/>
      <c r="B146" s="112"/>
      <c r="C146" s="88"/>
      <c r="D146" s="88"/>
      <c r="E146" s="117"/>
      <c r="F146" s="88"/>
      <c r="G146" s="117"/>
      <c r="H146" s="88"/>
      <c r="I146" s="117"/>
      <c r="J146" s="88"/>
      <c r="K146" s="117"/>
      <c r="L146" s="88"/>
      <c r="M146" s="117"/>
      <c r="N146" s="88"/>
      <c r="O146" s="117"/>
      <c r="P146" s="88"/>
      <c r="Q146" s="117"/>
      <c r="R146" s="88"/>
      <c r="S146" s="117"/>
      <c r="T146" s="96"/>
    </row>
    <row r="147" spans="1:39" ht="63.75" customHeight="1" x14ac:dyDescent="0.25">
      <c r="A147" s="93" t="s">
        <v>5</v>
      </c>
      <c r="B147" s="93" t="s">
        <v>6</v>
      </c>
      <c r="C147" s="74"/>
      <c r="D147" s="1035" t="str">
        <f>Empresas!$A$30</f>
        <v>ALECOP S. COOP.</v>
      </c>
      <c r="E147" s="1036"/>
      <c r="F147" s="1035" t="str">
        <f>Empresas!$A$31</f>
        <v>ANDALUZA DE PAPELERIA (OFIPAPEL)</v>
      </c>
      <c r="G147" s="1036"/>
      <c r="H147" s="1035" t="str">
        <f>Empresas!$A$32</f>
        <v>BALIPE SUMINISTROS E INSTALACIONES</v>
      </c>
      <c r="I147" s="1036"/>
      <c r="J147" s="1035" t="str">
        <f>Empresas!$A$33</f>
        <v>COMERCIAL DE INDUSTRIAS REUNIDAS</v>
      </c>
      <c r="K147" s="1036"/>
      <c r="L147" s="1035" t="str">
        <f>Empresas!$A$34</f>
        <v>EDUARDO BALLESTEROS S.L</v>
      </c>
      <c r="M147" s="1036"/>
      <c r="N147" s="1035" t="str">
        <f>Empresas!$A$35</f>
        <v>EL CORTE INGLÉS</v>
      </c>
      <c r="O147" s="1036"/>
      <c r="P147" s="1035" t="str">
        <f>Empresas!$A$36</f>
        <v>ESQUITINO</v>
      </c>
      <c r="Q147" s="1036"/>
      <c r="R147" s="1035" t="str">
        <f>Empresas!$A$37</f>
        <v>GRUPO KAT</v>
      </c>
      <c r="S147" s="1036"/>
      <c r="T147" s="1035" t="str">
        <f>Empresas!$A$38</f>
        <v>LAUSAN</v>
      </c>
      <c r="U147" s="1036"/>
      <c r="V147" s="1035" t="str">
        <f>Empresas!$A$39</f>
        <v>MELCO</v>
      </c>
      <c r="W147" s="1036"/>
      <c r="X147" s="1035" t="str">
        <f>Empresas!$A$40</f>
        <v>MOFISER S.L</v>
      </c>
      <c r="Y147" s="1036"/>
      <c r="Z147" s="1035" t="str">
        <f>Empresas!$A$41</f>
        <v>MOGAR</v>
      </c>
      <c r="AA147" s="1036"/>
      <c r="AB147" s="1035" t="str">
        <f>Empresas!$A$42</f>
        <v>MUEBLES TINAS</v>
      </c>
      <c r="AC147" s="1036"/>
      <c r="AD147" s="1035" t="str">
        <f>Empresas!$A$43</f>
        <v>OFINET</v>
      </c>
      <c r="AE147" s="1036"/>
      <c r="AF147" s="1035" t="str">
        <f>Empresas!$A$44</f>
        <v>OFITA INTERIORES (JOCAFRI)</v>
      </c>
      <c r="AG147" s="1036"/>
      <c r="AH147" s="1035" t="str">
        <f>Empresas!$A$45</f>
        <v>PAPELERÍA COLÓN</v>
      </c>
      <c r="AI147" s="1036"/>
      <c r="AJ147" s="1035" t="str">
        <f>Empresas!$A$46</f>
        <v>RUIZ COLLADO</v>
      </c>
      <c r="AK147" s="1036"/>
      <c r="AL147" s="1035" t="str">
        <f>Empresas!$A$47</f>
        <v>SERVITEC</v>
      </c>
      <c r="AM147" s="1036"/>
    </row>
    <row r="148" spans="1:39" x14ac:dyDescent="0.25">
      <c r="A148" s="467" t="s">
        <v>250</v>
      </c>
      <c r="B148" s="186" t="s">
        <v>251</v>
      </c>
      <c r="C148" s="65"/>
      <c r="D148" s="65"/>
      <c r="E148" s="65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65"/>
      <c r="S148" s="65"/>
      <c r="T148" s="65"/>
      <c r="U148" s="65"/>
      <c r="V148" s="184"/>
      <c r="W148" s="184"/>
      <c r="X148" s="65"/>
      <c r="Y148" s="65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65"/>
      <c r="AM148" s="65"/>
    </row>
    <row r="149" spans="1:39" x14ac:dyDescent="0.25">
      <c r="A149" s="120" t="s">
        <v>193</v>
      </c>
      <c r="B149" s="119" t="s">
        <v>195</v>
      </c>
      <c r="C149" s="116">
        <v>3</v>
      </c>
      <c r="D149" s="116"/>
      <c r="E149" s="116">
        <f>IF(D149="S",$C149,0)</f>
        <v>0</v>
      </c>
      <c r="F149" s="182"/>
      <c r="G149" s="182">
        <f>IF(F149="S",$C149,0)</f>
        <v>0</v>
      </c>
      <c r="H149" s="405"/>
      <c r="I149" s="405">
        <f>IF(H149="S",$C149,0)</f>
        <v>0</v>
      </c>
      <c r="J149" s="183"/>
      <c r="K149" s="182">
        <f>IF(J149="S",$C149,0)</f>
        <v>0</v>
      </c>
      <c r="L149" s="183"/>
      <c r="M149" s="412">
        <f>IF(L149="S",$C149,0)</f>
        <v>0</v>
      </c>
      <c r="N149" s="183"/>
      <c r="O149" s="182">
        <f>IF(N149="S",$C149,0)</f>
        <v>0</v>
      </c>
      <c r="P149" s="183"/>
      <c r="Q149" s="182">
        <f>IF(P149="S",$C149,0)</f>
        <v>0</v>
      </c>
      <c r="R149" s="86" t="s">
        <v>108</v>
      </c>
      <c r="S149" s="116">
        <f>IF(R149="S",$C149,0)</f>
        <v>3</v>
      </c>
      <c r="T149" s="430"/>
      <c r="U149" s="430">
        <f>IF(T149="S",$C149,0)</f>
        <v>0</v>
      </c>
      <c r="V149" s="182"/>
      <c r="W149" s="182">
        <f>IF(V149="S",$C149,0)</f>
        <v>0</v>
      </c>
      <c r="X149" s="183"/>
      <c r="Y149" s="116">
        <f>IF(X149="S",$C149,0)</f>
        <v>0</v>
      </c>
      <c r="Z149" s="182"/>
      <c r="AA149" s="182">
        <f>IF(Z149="S",$C149,0)</f>
        <v>0</v>
      </c>
      <c r="AB149" s="183"/>
      <c r="AC149" s="182">
        <f>IF(AB149="S",$C149,0)</f>
        <v>0</v>
      </c>
      <c r="AD149" s="183" t="s">
        <v>108</v>
      </c>
      <c r="AE149" s="182">
        <f>IF(AD149="S",$C149,0)</f>
        <v>3</v>
      </c>
      <c r="AF149" s="86"/>
      <c r="AG149" s="182">
        <f>IF(AF149="S",$C149,0)</f>
        <v>0</v>
      </c>
      <c r="AH149" s="183"/>
      <c r="AI149" s="182">
        <f>IF(AH149="S",$C149,0)</f>
        <v>0</v>
      </c>
      <c r="AJ149" s="183"/>
      <c r="AK149" s="182">
        <f>IF(AJ149="S",$C149,0)</f>
        <v>0</v>
      </c>
      <c r="AL149" s="86"/>
      <c r="AM149" s="116">
        <f>IF(AL149="S",$C149,0)</f>
        <v>0</v>
      </c>
    </row>
    <row r="150" spans="1:39" x14ac:dyDescent="0.25">
      <c r="A150" s="457">
        <v>3</v>
      </c>
      <c r="B150" s="119" t="s">
        <v>95</v>
      </c>
      <c r="C150" s="116">
        <v>2</v>
      </c>
      <c r="D150" s="116"/>
      <c r="E150" s="116">
        <f>IF(D150="S",$C150,0)</f>
        <v>0</v>
      </c>
      <c r="F150" s="182"/>
      <c r="G150" s="182">
        <f>IF(F150="S",$C150,0)</f>
        <v>0</v>
      </c>
      <c r="H150" s="355" t="s">
        <v>108</v>
      </c>
      <c r="I150" s="405">
        <f>IF(H150="S",$C150,0)</f>
        <v>2</v>
      </c>
      <c r="J150" s="183" t="s">
        <v>108</v>
      </c>
      <c r="K150" s="182">
        <f>IF(J150="S",$C150,0)</f>
        <v>2</v>
      </c>
      <c r="L150" s="183" t="s">
        <v>108</v>
      </c>
      <c r="M150" s="412">
        <f>IF(L150="S",$C150,0)</f>
        <v>2</v>
      </c>
      <c r="N150" s="183" t="s">
        <v>108</v>
      </c>
      <c r="O150" s="182">
        <f>IF(N150="S",$C150,0)</f>
        <v>2</v>
      </c>
      <c r="P150" s="183"/>
      <c r="Q150" s="182">
        <f>IF(P150="S",$C150,0)</f>
        <v>0</v>
      </c>
      <c r="R150" s="86"/>
      <c r="S150" s="116">
        <f>IF(R150="S",$C150,0)</f>
        <v>0</v>
      </c>
      <c r="T150" s="430" t="s">
        <v>108</v>
      </c>
      <c r="U150" s="430">
        <f>IF(T150="S",$C150,0)</f>
        <v>2</v>
      </c>
      <c r="V150" s="462" t="s">
        <v>108</v>
      </c>
      <c r="W150" s="182">
        <f>IF(V150="S",$C150,0)</f>
        <v>2</v>
      </c>
      <c r="X150" s="183" t="s">
        <v>108</v>
      </c>
      <c r="Y150" s="116">
        <f>IF(X150="S",$C150,0)</f>
        <v>2</v>
      </c>
      <c r="Z150" s="182"/>
      <c r="AA150" s="182">
        <f>IF(Z150="S",$C150,0)</f>
        <v>0</v>
      </c>
      <c r="AB150" s="183" t="s">
        <v>108</v>
      </c>
      <c r="AC150" s="182">
        <f>IF(AB150="S",$C150,0)</f>
        <v>2</v>
      </c>
      <c r="AD150" s="183"/>
      <c r="AE150" s="182">
        <f>IF(AD150="S",$C150,0)</f>
        <v>0</v>
      </c>
      <c r="AF150" s="86" t="s">
        <v>108</v>
      </c>
      <c r="AG150" s="182">
        <f>IF(AF150="S",$C150,0)</f>
        <v>2</v>
      </c>
      <c r="AH150" s="183"/>
      <c r="AI150" s="182">
        <f>IF(AH150="S",$C150,0)</f>
        <v>0</v>
      </c>
      <c r="AJ150" s="183" t="s">
        <v>108</v>
      </c>
      <c r="AK150" s="182">
        <f>IF(AJ150="S",$C150,0)</f>
        <v>2</v>
      </c>
      <c r="AL150" s="86"/>
      <c r="AM150" s="116">
        <f>IF(AL150="S",$C150,0)</f>
        <v>0</v>
      </c>
    </row>
    <row r="151" spans="1:39" x14ac:dyDescent="0.25">
      <c r="A151" s="458"/>
      <c r="B151" s="119" t="s">
        <v>196</v>
      </c>
      <c r="C151" s="116">
        <v>0</v>
      </c>
      <c r="D151" s="116"/>
      <c r="E151" s="116">
        <f>IF(D151="S",$C151,0)</f>
        <v>0</v>
      </c>
      <c r="F151" s="182"/>
      <c r="G151" s="182">
        <f>IF(F151="S",$C151,0)</f>
        <v>0</v>
      </c>
      <c r="H151" s="405"/>
      <c r="I151" s="405">
        <f>IF(H151="S",$C151,0)</f>
        <v>0</v>
      </c>
      <c r="J151" s="183"/>
      <c r="K151" s="182">
        <f>IF(J151="S",$C151,0)</f>
        <v>0</v>
      </c>
      <c r="L151" s="183"/>
      <c r="M151" s="412">
        <f>IF(L151="S",$C151,0)</f>
        <v>0</v>
      </c>
      <c r="N151" s="183"/>
      <c r="O151" s="182">
        <f>IF(N151="S",$C151,0)</f>
        <v>0</v>
      </c>
      <c r="P151" s="183"/>
      <c r="Q151" s="182">
        <f>IF(P151="S",$C151,0)</f>
        <v>0</v>
      </c>
      <c r="R151" s="86"/>
      <c r="S151" s="116">
        <f>IF(R151="S",$C151,0)</f>
        <v>0</v>
      </c>
      <c r="T151" s="430"/>
      <c r="U151" s="430">
        <f>IF(T151="S",$C151,0)</f>
        <v>0</v>
      </c>
      <c r="V151" s="182"/>
      <c r="W151" s="182">
        <f>IF(V151="S",$C151,0)</f>
        <v>0</v>
      </c>
      <c r="X151" s="183"/>
      <c r="Y151" s="116">
        <f>IF(X151="S",$C151,0)</f>
        <v>0</v>
      </c>
      <c r="Z151" s="182"/>
      <c r="AA151" s="182">
        <f>IF(Z151="S",$C151,0)</f>
        <v>0</v>
      </c>
      <c r="AB151" s="183"/>
      <c r="AC151" s="182">
        <f>IF(AB151="S",$C151,0)</f>
        <v>0</v>
      </c>
      <c r="AD151" s="183"/>
      <c r="AE151" s="182">
        <f>IF(AD151="S",$C151,0)</f>
        <v>0</v>
      </c>
      <c r="AF151" s="86"/>
      <c r="AG151" s="182">
        <f>IF(AF151="S",$C151,0)</f>
        <v>0</v>
      </c>
      <c r="AH151" s="183"/>
      <c r="AI151" s="182">
        <f>IF(AH151="S",$C151,0)</f>
        <v>0</v>
      </c>
      <c r="AJ151" s="183"/>
      <c r="AK151" s="182">
        <f>IF(AJ151="S",$C151,0)</f>
        <v>0</v>
      </c>
      <c r="AL151" s="86"/>
      <c r="AM151" s="116">
        <f>IF(AL151="S",$C151,0)</f>
        <v>0</v>
      </c>
    </row>
    <row r="152" spans="1:39" x14ac:dyDescent="0.25">
      <c r="A152" s="289" t="s">
        <v>211</v>
      </c>
      <c r="B152" s="266" t="s">
        <v>213</v>
      </c>
      <c r="C152" s="114">
        <v>3</v>
      </c>
      <c r="D152" s="992"/>
      <c r="E152" s="992" t="str">
        <f>IF(D152&gt;2.9,$C152,IF(D152&gt;1.4,$C153,IF(D152&gt;0,$C154,IF(D152=0,"0"))))</f>
        <v>0</v>
      </c>
      <c r="F152" s="992"/>
      <c r="G152" s="992" t="str">
        <f>IF(F152&gt;2.9,$C152,IF(F152&gt;1.4,$C153,IF(F152&gt;0,$C154,IF(F152=0,"0"))))</f>
        <v>0</v>
      </c>
      <c r="H152" s="992">
        <v>2.5</v>
      </c>
      <c r="I152" s="979">
        <f>IF(H152&gt;2.9,$C152,IF(H152&gt;1.9,$C153,IF(H152&gt;0,$C154,IF(H152=0,"0"))))</f>
        <v>1</v>
      </c>
      <c r="J152" s="979">
        <v>1.5</v>
      </c>
      <c r="K152" s="979">
        <f>IF(J152&gt;2.9,$C152,IF(J152&gt;1.9,$C153,IF(J152&gt;0,$C154,IF(J152=0,"0"))))</f>
        <v>0</v>
      </c>
      <c r="L152" s="979">
        <v>1.8</v>
      </c>
      <c r="M152" s="979">
        <f>IF(L152&gt;2.9,$C152,IF(L152&gt;1.9,$C153,IF(L152&gt;0,$C154,IF(L152=0,"0"))))</f>
        <v>0</v>
      </c>
      <c r="N152" s="979">
        <v>1.8</v>
      </c>
      <c r="O152" s="979">
        <f>IF(N152&gt;2.9,$C152,IF(N152&gt;1.9,$C153,IF(N152&gt;0,$C154,IF(N152=0,"0"))))</f>
        <v>0</v>
      </c>
      <c r="P152" s="979"/>
      <c r="Q152" s="979" t="str">
        <f>IF(P152&gt;2.9,$C152,IF(P152&gt;1.4,$C153,IF(P152&gt;0,$C154,IF(P152=0,"0"))))</f>
        <v>0</v>
      </c>
      <c r="R152" s="979">
        <v>1.5</v>
      </c>
      <c r="S152" s="979">
        <f>IF(R152&gt;2.9,$C152,IF(R152&gt;1.9,$C153,IF(R152&gt;0,$C154,IF(R152=0,"0"))))</f>
        <v>0</v>
      </c>
      <c r="T152" s="979">
        <v>2.5</v>
      </c>
      <c r="U152" s="979">
        <f>IF(T152&gt;2.9,$C152,IF(T152&gt;1.9,$C153,IF(T152&gt;0,$C154,IF(T152=0,"0"))))</f>
        <v>1</v>
      </c>
      <c r="V152" s="979">
        <v>2</v>
      </c>
      <c r="W152" s="979">
        <f>IF(V152&gt;2.9,$C152,IF(V152&gt;1.9,$C153,IF(V152&gt;0,$C154,IF(V152=0,"0"))))</f>
        <v>1</v>
      </c>
      <c r="X152" s="979">
        <v>2.5</v>
      </c>
      <c r="Y152" s="979">
        <f>IF(X152&gt;2.9,$C152,IF(X152&gt;1.9,$C153,IF(X152&gt;0,$C154,IF(X152=0,"0"))))</f>
        <v>1</v>
      </c>
      <c r="Z152" s="979"/>
      <c r="AA152" s="979" t="str">
        <f>IF(Z152&gt;2.9,$C152,IF(Z152&gt;1.4,$C153,IF(Z152&gt;0,$C154,IF(Z152=0,"0"))))</f>
        <v>0</v>
      </c>
      <c r="AB152" s="979">
        <v>2.5</v>
      </c>
      <c r="AC152" s="979">
        <f>IF(AB152&gt;2.9,$C152,IF(AB152&gt;1.9,$C153,IF(AB152&gt;0,$C154,IF(AB152=0,"0"))))</f>
        <v>1</v>
      </c>
      <c r="AD152" s="979">
        <v>3</v>
      </c>
      <c r="AE152" s="979">
        <f>IF(AD152&gt;2.9,$C152,IF(AD152&gt;1.9,$C153,IF(AD152&gt;0,$C154,IF(AD152=0,"0"))))</f>
        <v>3</v>
      </c>
      <c r="AF152" s="979">
        <v>2.5</v>
      </c>
      <c r="AG152" s="979">
        <f>IF(AF152&gt;2.9,$C152,IF(AF152&gt;1.9,$C153,IF(AF152&gt;0,$C154,IF(AF152=0,"0"))))</f>
        <v>1</v>
      </c>
      <c r="AH152" s="169"/>
      <c r="AI152" s="169" t="str">
        <f>IF(AH152&gt;2.9,$C152,IF(AH152&gt;1.4,$C153,IF(AH152&gt;0,$C154,IF(AH152=0,"0"))))</f>
        <v>0</v>
      </c>
      <c r="AJ152" s="979">
        <v>1.9</v>
      </c>
      <c r="AK152" s="979">
        <f>IF(AJ152&gt;2.9,$C152,IF(AJ152&gt;1.9,$C153,IF(AJ152&gt;0,$C154,IF(AJ152=0,"0"))))</f>
        <v>0</v>
      </c>
      <c r="AL152" s="169"/>
      <c r="AM152" s="169" t="str">
        <f>IF(AL152&gt;2.9,$C152,IF(AL152&gt;1.4,$C153,IF(AL152&gt;0,$C154,IF(AL152=0,"0"))))</f>
        <v>0</v>
      </c>
    </row>
    <row r="153" spans="1:39" x14ac:dyDescent="0.25">
      <c r="A153" s="242">
        <v>3</v>
      </c>
      <c r="B153" s="266" t="s">
        <v>672</v>
      </c>
      <c r="C153" s="114">
        <v>1</v>
      </c>
      <c r="D153" s="1037"/>
      <c r="E153" s="1037"/>
      <c r="F153" s="1037"/>
      <c r="G153" s="1037"/>
      <c r="H153" s="1037"/>
      <c r="I153" s="980"/>
      <c r="J153" s="980"/>
      <c r="K153" s="980"/>
      <c r="L153" s="980"/>
      <c r="M153" s="980"/>
      <c r="N153" s="980"/>
      <c r="O153" s="980"/>
      <c r="P153" s="980"/>
      <c r="Q153" s="980"/>
      <c r="R153" s="980"/>
      <c r="S153" s="980"/>
      <c r="T153" s="980"/>
      <c r="U153" s="980"/>
      <c r="V153" s="980"/>
      <c r="W153" s="980"/>
      <c r="X153" s="980"/>
      <c r="Y153" s="980"/>
      <c r="Z153" s="980"/>
      <c r="AA153" s="980"/>
      <c r="AB153" s="980"/>
      <c r="AC153" s="980"/>
      <c r="AD153" s="980"/>
      <c r="AE153" s="980"/>
      <c r="AF153" s="980"/>
      <c r="AG153" s="980"/>
      <c r="AH153" s="170"/>
      <c r="AI153" s="170"/>
      <c r="AJ153" s="980"/>
      <c r="AK153" s="980"/>
      <c r="AL153" s="170"/>
      <c r="AM153" s="170"/>
    </row>
    <row r="154" spans="1:39" x14ac:dyDescent="0.25">
      <c r="A154" s="488"/>
      <c r="B154" s="266" t="s">
        <v>671</v>
      </c>
      <c r="C154" s="114">
        <v>0</v>
      </c>
      <c r="D154" s="993"/>
      <c r="E154" s="993"/>
      <c r="F154" s="993"/>
      <c r="G154" s="993"/>
      <c r="H154" s="993"/>
      <c r="I154" s="981"/>
      <c r="J154" s="981"/>
      <c r="K154" s="981"/>
      <c r="L154" s="981"/>
      <c r="M154" s="981"/>
      <c r="N154" s="981"/>
      <c r="O154" s="981"/>
      <c r="P154" s="981"/>
      <c r="Q154" s="981"/>
      <c r="R154" s="981"/>
      <c r="S154" s="981"/>
      <c r="T154" s="981"/>
      <c r="U154" s="981"/>
      <c r="V154" s="981"/>
      <c r="W154" s="981"/>
      <c r="X154" s="981"/>
      <c r="Y154" s="981"/>
      <c r="Z154" s="981"/>
      <c r="AA154" s="981"/>
      <c r="AB154" s="981"/>
      <c r="AC154" s="981"/>
      <c r="AD154" s="981"/>
      <c r="AE154" s="981"/>
      <c r="AF154" s="981"/>
      <c r="AG154" s="981"/>
      <c r="AH154" s="171"/>
      <c r="AI154" s="171"/>
      <c r="AJ154" s="981"/>
      <c r="AK154" s="981"/>
      <c r="AL154" s="171"/>
      <c r="AM154" s="171"/>
    </row>
    <row r="155" spans="1:39" x14ac:dyDescent="0.25">
      <c r="A155" s="120" t="s">
        <v>194</v>
      </c>
      <c r="B155" s="119" t="s">
        <v>195</v>
      </c>
      <c r="C155" s="116">
        <v>3</v>
      </c>
      <c r="D155" s="116"/>
      <c r="E155" s="116">
        <f>IF(D155="S",$C155,0)</f>
        <v>0</v>
      </c>
      <c r="F155" s="182"/>
      <c r="G155" s="182">
        <f>IF(F155="S",$C155,0)</f>
        <v>0</v>
      </c>
      <c r="H155" s="405"/>
      <c r="I155" s="405">
        <f>IF(H155="S",$C155,0)</f>
        <v>0</v>
      </c>
      <c r="J155" s="183"/>
      <c r="K155" s="182">
        <f>IF(J155="S",$C155,0)</f>
        <v>0</v>
      </c>
      <c r="L155" s="412"/>
      <c r="M155" s="412">
        <f>IF(L155="S",$C155,0)</f>
        <v>0</v>
      </c>
      <c r="N155" s="412"/>
      <c r="O155" s="182">
        <f>IF(N155="S",$C155,0)</f>
        <v>0</v>
      </c>
      <c r="P155" s="183"/>
      <c r="Q155" s="182">
        <f>IF(P155="S",$C155,0)</f>
        <v>0</v>
      </c>
      <c r="R155" s="86" t="s">
        <v>108</v>
      </c>
      <c r="S155" s="116">
        <f>IF(R155="S",$C155,0)</f>
        <v>3</v>
      </c>
      <c r="T155" s="430"/>
      <c r="U155" s="430">
        <f>IF(T155="S",$C155,0)</f>
        <v>0</v>
      </c>
      <c r="V155" s="182"/>
      <c r="W155" s="182">
        <f>IF(V155="S",$C155,0)</f>
        <v>0</v>
      </c>
      <c r="X155" s="183"/>
      <c r="Y155" s="116">
        <f>IF(X155="S",$C155,0)</f>
        <v>0</v>
      </c>
      <c r="Z155" s="182"/>
      <c r="AA155" s="182">
        <f>IF(Z155="S",$C155,0)</f>
        <v>0</v>
      </c>
      <c r="AB155" s="183"/>
      <c r="AC155" s="182">
        <f>IF(AB155="S",$C155,0)</f>
        <v>0</v>
      </c>
      <c r="AD155" s="183" t="s">
        <v>108</v>
      </c>
      <c r="AE155" s="182">
        <f>IF(AD155="S",$C155,0)</f>
        <v>3</v>
      </c>
      <c r="AF155" s="86"/>
      <c r="AG155" s="182">
        <f>IF(AF155="S",$C155,0)</f>
        <v>0</v>
      </c>
      <c r="AH155" s="183"/>
      <c r="AI155" s="182">
        <f>IF(AH155="S",$C155,0)</f>
        <v>0</v>
      </c>
      <c r="AJ155" s="183"/>
      <c r="AK155" s="182">
        <f>IF(AJ155="S",$C155,0)</f>
        <v>0</v>
      </c>
      <c r="AL155" s="86"/>
      <c r="AM155" s="116">
        <f>IF(AL155="S",$C155,0)</f>
        <v>0</v>
      </c>
    </row>
    <row r="156" spans="1:39" x14ac:dyDescent="0.25">
      <c r="A156" s="457">
        <v>3</v>
      </c>
      <c r="B156" s="119" t="s">
        <v>95</v>
      </c>
      <c r="C156" s="116">
        <v>2</v>
      </c>
      <c r="D156" s="116"/>
      <c r="E156" s="116">
        <f>IF(D156="S",$C156,0)</f>
        <v>0</v>
      </c>
      <c r="F156" s="182"/>
      <c r="G156" s="182">
        <f>IF(F156="S",$C156,0)</f>
        <v>0</v>
      </c>
      <c r="H156" s="355" t="s">
        <v>108</v>
      </c>
      <c r="I156" s="405">
        <f>IF(H156="S",$C156,0)</f>
        <v>2</v>
      </c>
      <c r="J156" s="183"/>
      <c r="K156" s="182">
        <f>IF(J156="S",$C156,0)</f>
        <v>0</v>
      </c>
      <c r="L156" s="412" t="s">
        <v>108</v>
      </c>
      <c r="M156" s="412">
        <f>IF(L156="S",$C156,0)</f>
        <v>2</v>
      </c>
      <c r="N156" s="412" t="s">
        <v>108</v>
      </c>
      <c r="O156" s="182">
        <f>IF(N156="S",$C156,0)</f>
        <v>2</v>
      </c>
      <c r="P156" s="183"/>
      <c r="Q156" s="182">
        <f>IF(P156="S",$C156,0)</f>
        <v>0</v>
      </c>
      <c r="R156" s="86"/>
      <c r="S156" s="116">
        <f>IF(R156="S",$C156,0)</f>
        <v>0</v>
      </c>
      <c r="T156" s="430" t="s">
        <v>108</v>
      </c>
      <c r="U156" s="430">
        <f>IF(T156="S",$C156,0)</f>
        <v>2</v>
      </c>
      <c r="V156" s="462" t="s">
        <v>108</v>
      </c>
      <c r="W156" s="182">
        <f>IF(V156="S",$C156,0)</f>
        <v>2</v>
      </c>
      <c r="X156" s="183" t="s">
        <v>108</v>
      </c>
      <c r="Y156" s="116">
        <f>IF(X156="S",$C156,0)</f>
        <v>2</v>
      </c>
      <c r="Z156" s="182"/>
      <c r="AA156" s="182">
        <f>IF(Z156="S",$C156,0)</f>
        <v>0</v>
      </c>
      <c r="AB156" s="449" t="s">
        <v>666</v>
      </c>
      <c r="AC156" s="182">
        <f>IF(AB156="S",$C156,0)</f>
        <v>2</v>
      </c>
      <c r="AD156" s="183"/>
      <c r="AE156" s="182">
        <f>IF(AD156="S",$C156,0)</f>
        <v>0</v>
      </c>
      <c r="AF156" s="86" t="s">
        <v>108</v>
      </c>
      <c r="AG156" s="182">
        <f>IF(AF156="S",$C156,0)</f>
        <v>2</v>
      </c>
      <c r="AH156" s="183"/>
      <c r="AI156" s="182">
        <f>IF(AH156="S",$C156,0)</f>
        <v>0</v>
      </c>
      <c r="AJ156" s="183" t="s">
        <v>108</v>
      </c>
      <c r="AK156" s="182">
        <f>IF(AJ156="S",$C156,0)</f>
        <v>2</v>
      </c>
      <c r="AL156" s="86"/>
      <c r="AM156" s="116">
        <f>IF(AL156="S",$C156,0)</f>
        <v>0</v>
      </c>
    </row>
    <row r="157" spans="1:39" x14ac:dyDescent="0.25">
      <c r="A157" s="458"/>
      <c r="B157" s="119" t="s">
        <v>196</v>
      </c>
      <c r="C157" s="116">
        <v>0</v>
      </c>
      <c r="D157" s="116"/>
      <c r="E157" s="116">
        <f>IF(D157="S",$C157,0)</f>
        <v>0</v>
      </c>
      <c r="F157" s="182"/>
      <c r="G157" s="182">
        <f>IF(F157="S",$C157,0)</f>
        <v>0</v>
      </c>
      <c r="H157" s="405"/>
      <c r="I157" s="405">
        <f>IF(H157="S",$C157,0)</f>
        <v>0</v>
      </c>
      <c r="J157" s="183" t="s">
        <v>108</v>
      </c>
      <c r="K157" s="182">
        <f>IF(J157="S",$C157,0)</f>
        <v>0</v>
      </c>
      <c r="L157" s="412"/>
      <c r="M157" s="412">
        <f>IF(L157="S",$C157,0)</f>
        <v>0</v>
      </c>
      <c r="N157" s="412"/>
      <c r="O157" s="182">
        <f>IF(N157="S",$C157,0)</f>
        <v>0</v>
      </c>
      <c r="P157" s="183"/>
      <c r="Q157" s="182">
        <f>IF(P157="S",$C157,0)</f>
        <v>0</v>
      </c>
      <c r="R157" s="86"/>
      <c r="S157" s="116">
        <f>IF(R157="S",$C157,0)</f>
        <v>0</v>
      </c>
      <c r="T157" s="430"/>
      <c r="U157" s="430">
        <f>IF(T157="S",$C157,0)</f>
        <v>0</v>
      </c>
      <c r="V157" s="182"/>
      <c r="W157" s="182">
        <f>IF(V157="S",$C157,0)</f>
        <v>0</v>
      </c>
      <c r="X157" s="183"/>
      <c r="Y157" s="116">
        <f>IF(X157="S",$C157,0)</f>
        <v>0</v>
      </c>
      <c r="Z157" s="182"/>
      <c r="AA157" s="182">
        <f>IF(Z157="S",$C157,0)</f>
        <v>0</v>
      </c>
      <c r="AB157" s="183"/>
      <c r="AC157" s="182">
        <f>IF(AB157="S",$C157,0)</f>
        <v>0</v>
      </c>
      <c r="AD157" s="183"/>
      <c r="AE157" s="182">
        <f>IF(AD157="S",$C157,0)</f>
        <v>0</v>
      </c>
      <c r="AF157" s="86"/>
      <c r="AG157" s="182">
        <f>IF(AF157="S",$C157,0)</f>
        <v>0</v>
      </c>
      <c r="AH157" s="183"/>
      <c r="AI157" s="182">
        <f>IF(AH157="S",$C157,0)</f>
        <v>0</v>
      </c>
      <c r="AJ157" s="183"/>
      <c r="AK157" s="182">
        <f>IF(AJ157="S",$C157,0)</f>
        <v>0</v>
      </c>
      <c r="AL157" s="86"/>
      <c r="AM157" s="116">
        <f>IF(AL157="S",$C157,0)</f>
        <v>0</v>
      </c>
    </row>
    <row r="158" spans="1:39" x14ac:dyDescent="0.25">
      <c r="A158" s="123" t="s">
        <v>215</v>
      </c>
      <c r="B158" s="266" t="s">
        <v>213</v>
      </c>
      <c r="C158" s="76">
        <v>3</v>
      </c>
      <c r="D158" s="979"/>
      <c r="E158" s="979" t="str">
        <f>IF(D158&gt;2.9,$C158,IF(D158&gt;1.4,$C159,IF(D158&gt;0,$C160,IF(D158=0,"0"))))</f>
        <v>0</v>
      </c>
      <c r="F158" s="979"/>
      <c r="G158" s="979" t="str">
        <f>IF(F158&gt;2.9,$C158,IF(F158&gt;1.4,$C159,IF(F158&gt;0,$C160,IF(F158=0,"0"))))</f>
        <v>0</v>
      </c>
      <c r="H158" s="979">
        <v>2.5</v>
      </c>
      <c r="I158" s="979">
        <f>IF(H158&gt;2.9,$C158,IF(H158&gt;1.9,$C159,IF(H158&gt;0,$C160,IF(H158=0,"0"))))</f>
        <v>1</v>
      </c>
      <c r="J158" s="979">
        <v>1.5</v>
      </c>
      <c r="K158" s="979">
        <f>IF(J158&gt;2.9,$C158,IF(J158&gt;1.9,$C159,IF(J158&gt;0,$C160,IF(J158=0,"0"))))</f>
        <v>0</v>
      </c>
      <c r="L158" s="979">
        <v>1.8</v>
      </c>
      <c r="M158" s="979">
        <f>IF(L158&gt;2.9,$C158,IF(L158&gt;1.9,$C159,IF(L158&gt;0,$C160,IF(L158=0,"0"))))</f>
        <v>0</v>
      </c>
      <c r="N158" s="979">
        <v>1.8</v>
      </c>
      <c r="O158" s="979">
        <f>IF(N158&gt;2.9,$C158,IF(N158&gt;1.9,$C159,IF(N158&gt;0,$C160,IF(N158=0,"0"))))</f>
        <v>0</v>
      </c>
      <c r="P158" s="979"/>
      <c r="Q158" s="979" t="str">
        <f>IF(P158&gt;2.9,$C158,IF(P158&gt;1.4,$C159,IF(P158&gt;0,$C160,IF(P158=0,"0"))))</f>
        <v>0</v>
      </c>
      <c r="R158" s="979">
        <v>1.5</v>
      </c>
      <c r="S158" s="979">
        <f>IF(R158&gt;2.9,$C158,IF(R158&gt;1.9,$C159,IF(R158&gt;0,$C160,IF(R158=0,"0"))))</f>
        <v>0</v>
      </c>
      <c r="T158" s="979">
        <v>2.5</v>
      </c>
      <c r="U158" s="979">
        <f>IF(T158&gt;2.9,$C158,IF(T158&gt;1.9,$C159,IF(T158&gt;0,$C160,IF(T158=0,"0"))))</f>
        <v>1</v>
      </c>
      <c r="V158" s="979">
        <v>2.5</v>
      </c>
      <c r="W158" s="979">
        <f>IF(V158&gt;2.9,$C158,IF(V158&gt;1.9,$C159,IF(V158&gt;0,$C160,IF(V158=0,"0"))))</f>
        <v>1</v>
      </c>
      <c r="X158" s="979">
        <v>2.5</v>
      </c>
      <c r="Y158" s="979">
        <f>IF(X158&gt;2.9,$C158,IF(X158&gt;1.9,$C159,IF(X158&gt;0,$C160,IF(X158=0,"0"))))</f>
        <v>1</v>
      </c>
      <c r="Z158" s="979"/>
      <c r="AA158" s="979" t="str">
        <f>IF(Z158&gt;2.9,$C158,IF(Z158&gt;1.4,$C159,IF(Z158&gt;0,$C160,IF(Z158=0,"0"))))</f>
        <v>0</v>
      </c>
      <c r="AB158" s="979">
        <v>2.5</v>
      </c>
      <c r="AC158" s="979">
        <f>IF(AB158&gt;2.9,$C158,IF(AB158&gt;1.9,$C159,IF(AB158&gt;0,$C160,IF(AB158=0,"0"))))</f>
        <v>1</v>
      </c>
      <c r="AD158" s="979">
        <v>3</v>
      </c>
      <c r="AE158" s="979">
        <f>IF(AD158&gt;2.9,$C158,IF(AD158&gt;1.9,$C159,IF(AD158&gt;0,$C160,IF(AD158=0,"0"))))</f>
        <v>3</v>
      </c>
      <c r="AF158" s="979">
        <v>2.5</v>
      </c>
      <c r="AG158" s="979">
        <f>IF(AF158&gt;2.9,$C158,IF(AF158&gt;1.9,$C159,IF(AF158&gt;0,$C160,IF(AF158=0,"0"))))</f>
        <v>1</v>
      </c>
      <c r="AH158" s="169"/>
      <c r="AI158" s="169" t="str">
        <f>IF(AH158&gt;2.9,$C158,IF(AH158&gt;1.4,$C159,IF(AH158&gt;0,$C160,IF(AH158=0,"0"))))</f>
        <v>0</v>
      </c>
      <c r="AJ158" s="979">
        <v>2.2000000000000002</v>
      </c>
      <c r="AK158" s="979">
        <f>IF(AJ158&gt;2.9,$C158,IF(AJ158&gt;1.9,$C159,IF(AJ158&gt;0,$C160,IF(AJ158=0,"0"))))</f>
        <v>1</v>
      </c>
      <c r="AL158" s="169"/>
      <c r="AM158" s="169" t="str">
        <f>IF(AL158&gt;2.9,$C158,IF(AL158&gt;1.4,$C159,IF(AL158&gt;0,$C160,IF(AL158=0,"0"))))</f>
        <v>0</v>
      </c>
    </row>
    <row r="159" spans="1:39" x14ac:dyDescent="0.25">
      <c r="A159" s="69">
        <v>3</v>
      </c>
      <c r="B159" s="266" t="s">
        <v>672</v>
      </c>
      <c r="C159" s="76">
        <v>1</v>
      </c>
      <c r="D159" s="980"/>
      <c r="E159" s="980"/>
      <c r="F159" s="980"/>
      <c r="G159" s="980"/>
      <c r="H159" s="980"/>
      <c r="I159" s="980"/>
      <c r="J159" s="980"/>
      <c r="K159" s="980"/>
      <c r="L159" s="980"/>
      <c r="M159" s="980"/>
      <c r="N159" s="980"/>
      <c r="O159" s="980"/>
      <c r="P159" s="980"/>
      <c r="Q159" s="980"/>
      <c r="R159" s="980"/>
      <c r="S159" s="980"/>
      <c r="T159" s="980"/>
      <c r="U159" s="980"/>
      <c r="V159" s="980"/>
      <c r="W159" s="980"/>
      <c r="X159" s="980"/>
      <c r="Y159" s="980"/>
      <c r="Z159" s="980"/>
      <c r="AA159" s="980"/>
      <c r="AB159" s="980"/>
      <c r="AC159" s="980"/>
      <c r="AD159" s="980"/>
      <c r="AE159" s="980"/>
      <c r="AF159" s="980"/>
      <c r="AG159" s="980"/>
      <c r="AH159" s="170"/>
      <c r="AI159" s="170"/>
      <c r="AJ159" s="980"/>
      <c r="AK159" s="980"/>
      <c r="AL159" s="170"/>
      <c r="AM159" s="170"/>
    </row>
    <row r="160" spans="1:39" x14ac:dyDescent="0.25">
      <c r="A160" s="70"/>
      <c r="B160" s="266" t="s">
        <v>671</v>
      </c>
      <c r="C160" s="76">
        <v>0</v>
      </c>
      <c r="D160" s="981"/>
      <c r="E160" s="981"/>
      <c r="F160" s="981"/>
      <c r="G160" s="981"/>
      <c r="H160" s="981"/>
      <c r="I160" s="981"/>
      <c r="J160" s="981"/>
      <c r="K160" s="981"/>
      <c r="L160" s="981"/>
      <c r="M160" s="981"/>
      <c r="N160" s="981"/>
      <c r="O160" s="981"/>
      <c r="P160" s="981"/>
      <c r="Q160" s="981"/>
      <c r="R160" s="981"/>
      <c r="S160" s="981"/>
      <c r="T160" s="981"/>
      <c r="U160" s="981"/>
      <c r="V160" s="981"/>
      <c r="W160" s="981"/>
      <c r="X160" s="981"/>
      <c r="Y160" s="981"/>
      <c r="Z160" s="981"/>
      <c r="AA160" s="981"/>
      <c r="AB160" s="981"/>
      <c r="AC160" s="981"/>
      <c r="AD160" s="981"/>
      <c r="AE160" s="981"/>
      <c r="AF160" s="981"/>
      <c r="AG160" s="981"/>
      <c r="AH160" s="171"/>
      <c r="AI160" s="171"/>
      <c r="AJ160" s="981"/>
      <c r="AK160" s="981"/>
      <c r="AL160" s="171"/>
      <c r="AM160" s="171"/>
    </row>
    <row r="161" spans="1:39" x14ac:dyDescent="0.25">
      <c r="A161" s="120" t="s">
        <v>216</v>
      </c>
      <c r="B161" s="119" t="s">
        <v>213</v>
      </c>
      <c r="C161" s="116">
        <f>A162</f>
        <v>3</v>
      </c>
      <c r="D161" s="1029"/>
      <c r="E161" s="1029" t="str">
        <f>IF(D161&gt;2.9,$C161,IF(D161&gt;1.4,$C162,IF(D161&gt;0,$C163,IF(D161=0,"0"))))</f>
        <v>0</v>
      </c>
      <c r="F161" s="976"/>
      <c r="G161" s="976" t="str">
        <f>IF(F161&gt;2.9,$C161,IF(F161&gt;1.4,$C162,IF(F161&gt;0,$C163,IF(F161=0,"0"))))</f>
        <v>0</v>
      </c>
      <c r="H161" s="976">
        <v>4</v>
      </c>
      <c r="I161" s="976">
        <f>IF(H161&gt;2.9,$C161,IF(H161&gt;1.4,$C162,IF(H161&gt;0,$C163,IF(H161=0,"0"))))</f>
        <v>3</v>
      </c>
      <c r="J161" s="976">
        <v>3.6</v>
      </c>
      <c r="K161" s="976">
        <f>IF(J161&gt;2.9,$C161,IF(J161&gt;1.4,$C162,IF(J161&gt;0,$C163,IF(J161=0,"0"))))</f>
        <v>3</v>
      </c>
      <c r="L161" s="976">
        <v>2</v>
      </c>
      <c r="M161" s="976">
        <f>IF(L161&gt;2.9,$C161,IF(L161&gt;1.4,$C162,IF(L161&gt;0,$C163,IF(L161=0,"0"))))</f>
        <v>1</v>
      </c>
      <c r="N161" s="976">
        <v>2</v>
      </c>
      <c r="O161" s="976">
        <f>IF(N161&gt;2.9,$C161,IF(N161&gt;1.4,$C162,IF(N161&gt;0,$C163,IF(N161=0,"0"))))</f>
        <v>1</v>
      </c>
      <c r="P161" s="976"/>
      <c r="Q161" s="976" t="str">
        <f>IF(P161&gt;2.9,$C161,IF(P161&gt;1.4,$C162,IF(P161&gt;0,$C163,IF(P161=0,"0"))))</f>
        <v>0</v>
      </c>
      <c r="R161" s="1029">
        <v>4.5</v>
      </c>
      <c r="S161" s="1029">
        <f>IF(R161&gt;2.9,$C161,IF(R161&gt;1.4,$C162,IF(R161&gt;0,$C163,IF(R161=0,"0"))))</f>
        <v>3</v>
      </c>
      <c r="T161" s="1029">
        <v>5</v>
      </c>
      <c r="U161" s="1029">
        <f>IF(T161&gt;2.9,$C161,IF(T161&gt;1.4,$C162,IF(T161&gt;0,$C163,IF(T161=0,"0"))))</f>
        <v>3</v>
      </c>
      <c r="V161" s="976">
        <v>4.2</v>
      </c>
      <c r="W161" s="976">
        <f>IF(V161&gt;2.9,$C161,IF(V161&gt;1.4,$C162,IF(V161&gt;0,$C163,IF(V161=0,"0"))))</f>
        <v>3</v>
      </c>
      <c r="X161" s="976">
        <v>3.2</v>
      </c>
      <c r="Y161" s="1029">
        <f>IF(X161&gt;2.9,$C161,IF(X161&gt;1.4,$C162,IF(X161&gt;0,$C163,IF(X161=0,"0"))))</f>
        <v>3</v>
      </c>
      <c r="Z161" s="976"/>
      <c r="AA161" s="976" t="str">
        <f>IF(Z161&gt;2.9,$C161,IF(Z161&gt;1.4,$C162,IF(Z161&gt;0,$C163,IF(Z161=0,"0"))))</f>
        <v>0</v>
      </c>
      <c r="AB161" s="976">
        <v>2.5</v>
      </c>
      <c r="AC161" s="1029">
        <f>IF(AB161&gt;2.9,$C161,IF(AB161&gt;1.4,$C162,IF(AB161&gt;0,$C163,IF(AB161=0,"0"))))</f>
        <v>1</v>
      </c>
      <c r="AD161" s="1029">
        <v>4</v>
      </c>
      <c r="AE161" s="1029">
        <f>IF(AD161&gt;2.9,$C161,IF(AD161&gt;1.4,$C162,IF(AD161&gt;0,$C163,IF(AD161=0,"0"))))</f>
        <v>3</v>
      </c>
      <c r="AF161" s="1029">
        <v>4</v>
      </c>
      <c r="AG161" s="1029">
        <f>IF(AF161&gt;2.9,$C161,IF(AF161&gt;1.4,$C162,IF(AF161&gt;0,$C163,IF(AF161=0,"0"))))</f>
        <v>3</v>
      </c>
      <c r="AH161" s="189"/>
      <c r="AI161" s="189" t="str">
        <f>IF(AH161&gt;2.9,$C161,IF(AH161&gt;1.4,$C162,IF(AH161&gt;0,$C163,IF(AH161=0,"0"))))</f>
        <v>0</v>
      </c>
      <c r="AJ161" s="1029">
        <v>3.9</v>
      </c>
      <c r="AK161" s="1029">
        <f>IF(AJ161&gt;2.9,$C161,IF(AJ161&gt;1.4,$C162,IF(AJ161&gt;0,$C163,IF(AJ161=0,"0"))))</f>
        <v>3</v>
      </c>
      <c r="AL161" s="166"/>
      <c r="AM161" s="166" t="str">
        <f>IF(AL161&gt;2.9,$C161,IF(AL161&gt;1.4,$C162,IF(AL161&gt;0,$C163,IF(AL161=0,"0"))))</f>
        <v>0</v>
      </c>
    </row>
    <row r="162" spans="1:39" x14ac:dyDescent="0.25">
      <c r="A162" s="457">
        <v>3</v>
      </c>
      <c r="B162" s="119" t="s">
        <v>212</v>
      </c>
      <c r="C162" s="116">
        <v>1</v>
      </c>
      <c r="D162" s="1030"/>
      <c r="E162" s="1030"/>
      <c r="F162" s="977"/>
      <c r="G162" s="977"/>
      <c r="H162" s="977"/>
      <c r="I162" s="977"/>
      <c r="J162" s="977"/>
      <c r="K162" s="977"/>
      <c r="L162" s="977"/>
      <c r="M162" s="977"/>
      <c r="N162" s="977"/>
      <c r="O162" s="977"/>
      <c r="P162" s="977"/>
      <c r="Q162" s="977"/>
      <c r="R162" s="1030"/>
      <c r="S162" s="1030"/>
      <c r="T162" s="1030"/>
      <c r="U162" s="1030"/>
      <c r="V162" s="977"/>
      <c r="W162" s="977"/>
      <c r="X162" s="977"/>
      <c r="Y162" s="1030"/>
      <c r="Z162" s="977"/>
      <c r="AA162" s="977"/>
      <c r="AB162" s="977"/>
      <c r="AC162" s="1030"/>
      <c r="AD162" s="1030"/>
      <c r="AE162" s="1030"/>
      <c r="AF162" s="1030"/>
      <c r="AG162" s="1030"/>
      <c r="AH162" s="190"/>
      <c r="AI162" s="190"/>
      <c r="AJ162" s="1030"/>
      <c r="AK162" s="1030"/>
      <c r="AL162" s="167"/>
      <c r="AM162" s="167"/>
    </row>
    <row r="163" spans="1:39" x14ac:dyDescent="0.25">
      <c r="A163" s="458"/>
      <c r="B163" s="119" t="s">
        <v>214</v>
      </c>
      <c r="C163" s="116">
        <v>0</v>
      </c>
      <c r="D163" s="1033"/>
      <c r="E163" s="1033"/>
      <c r="F163" s="978"/>
      <c r="G163" s="978"/>
      <c r="H163" s="978"/>
      <c r="I163" s="978"/>
      <c r="J163" s="978"/>
      <c r="K163" s="978"/>
      <c r="L163" s="978"/>
      <c r="M163" s="978"/>
      <c r="N163" s="978"/>
      <c r="O163" s="978"/>
      <c r="P163" s="978"/>
      <c r="Q163" s="978"/>
      <c r="R163" s="1033"/>
      <c r="S163" s="1033"/>
      <c r="T163" s="1033"/>
      <c r="U163" s="1033"/>
      <c r="V163" s="978"/>
      <c r="W163" s="978"/>
      <c r="X163" s="978"/>
      <c r="Y163" s="1033"/>
      <c r="Z163" s="978"/>
      <c r="AA163" s="978"/>
      <c r="AB163" s="978"/>
      <c r="AC163" s="1033"/>
      <c r="AD163" s="1033"/>
      <c r="AE163" s="1033"/>
      <c r="AF163" s="1033"/>
      <c r="AG163" s="1033"/>
      <c r="AH163" s="191"/>
      <c r="AI163" s="191"/>
      <c r="AJ163" s="1033"/>
      <c r="AK163" s="1033"/>
      <c r="AL163" s="168"/>
      <c r="AM163" s="168"/>
    </row>
    <row r="164" spans="1:39" x14ac:dyDescent="0.25">
      <c r="A164" s="123" t="s">
        <v>220</v>
      </c>
      <c r="B164" s="456" t="s">
        <v>165</v>
      </c>
      <c r="C164" s="164">
        <f>A165</f>
        <v>3</v>
      </c>
      <c r="D164" s="164"/>
      <c r="E164" s="164">
        <f>IF(D164="S",$C164,0)</f>
        <v>0</v>
      </c>
      <c r="F164" s="76"/>
      <c r="G164" s="76">
        <f>IF(F164="S",$C164,0)</f>
        <v>0</v>
      </c>
      <c r="H164" s="404"/>
      <c r="I164" s="404">
        <f>IF(H164="S",$C164,0)</f>
        <v>0</v>
      </c>
      <c r="J164" s="76"/>
      <c r="K164" s="76">
        <f>IF(J164="S",$C164,0)</f>
        <v>0</v>
      </c>
      <c r="L164" s="411"/>
      <c r="M164" s="411">
        <f>IF(L164="S",$C164,0)</f>
        <v>0</v>
      </c>
      <c r="N164" s="411"/>
      <c r="O164" s="76">
        <f>IF(N164="S",$C164,0)</f>
        <v>0</v>
      </c>
      <c r="P164" s="76"/>
      <c r="Q164" s="76">
        <f>IF(P164="S",$C164,0)</f>
        <v>0</v>
      </c>
      <c r="R164" s="470"/>
      <c r="S164" s="164">
        <f>IF(R164="S",$C164,0)</f>
        <v>0</v>
      </c>
      <c r="T164" s="432"/>
      <c r="U164" s="432">
        <f>IF(T164="S",$C164,0)</f>
        <v>0</v>
      </c>
      <c r="V164" s="76"/>
      <c r="W164" s="76">
        <f>IF(V164="S",$C164,0)</f>
        <v>0</v>
      </c>
      <c r="X164" s="471"/>
      <c r="Y164" s="164">
        <f>IF(X164="S",$C164,0)</f>
        <v>0</v>
      </c>
      <c r="Z164" s="76"/>
      <c r="AA164" s="76">
        <f>IF(Z164="S",$C164,0)</f>
        <v>0</v>
      </c>
      <c r="AB164" s="433"/>
      <c r="AC164" s="76">
        <f>IF(AB164="S",$C164,0)</f>
        <v>0</v>
      </c>
      <c r="AD164" s="76"/>
      <c r="AE164" s="76">
        <f>IF(AD164="S",$C164,0)</f>
        <v>0</v>
      </c>
      <c r="AF164" s="470"/>
      <c r="AG164" s="76">
        <f>IF(AF164="S",$C164,0)</f>
        <v>0</v>
      </c>
      <c r="AH164" s="76"/>
      <c r="AI164" s="76">
        <f>IF(AH164="S",$C164,0)</f>
        <v>0</v>
      </c>
      <c r="AJ164" s="76"/>
      <c r="AK164" s="76">
        <f>IF(AJ164="S",$C164,0)</f>
        <v>0</v>
      </c>
      <c r="AL164" s="164"/>
      <c r="AM164" s="164">
        <f>IF(AL164="S",$C164,0)</f>
        <v>0</v>
      </c>
    </row>
    <row r="165" spans="1:39" x14ac:dyDescent="0.25">
      <c r="A165" s="69">
        <v>3</v>
      </c>
      <c r="B165" s="456" t="s">
        <v>58</v>
      </c>
      <c r="C165" s="164">
        <v>2</v>
      </c>
      <c r="D165" s="164"/>
      <c r="E165" s="164">
        <f>IF(D165="S",$C165,0)</f>
        <v>0</v>
      </c>
      <c r="F165" s="76"/>
      <c r="G165" s="76">
        <f>IF(F165="S",$C165,0)</f>
        <v>0</v>
      </c>
      <c r="H165" s="114" t="s">
        <v>108</v>
      </c>
      <c r="I165" s="404">
        <f>IF(H165="S",$C165,0)</f>
        <v>2</v>
      </c>
      <c r="J165" s="471" t="s">
        <v>108</v>
      </c>
      <c r="K165" s="76">
        <f>IF(J165="S",$C165,0)</f>
        <v>2</v>
      </c>
      <c r="L165" s="411"/>
      <c r="M165" s="411">
        <f>IF(L165="S",$C165,0)</f>
        <v>0</v>
      </c>
      <c r="N165" s="411"/>
      <c r="O165" s="76">
        <f>IF(N165="S",$C165,0)</f>
        <v>0</v>
      </c>
      <c r="P165" s="76"/>
      <c r="Q165" s="76">
        <f>IF(P165="S",$C165,0)</f>
        <v>0</v>
      </c>
      <c r="R165" s="470" t="s">
        <v>108</v>
      </c>
      <c r="S165" s="164">
        <f>IF(R165="S",$C165,0)</f>
        <v>2</v>
      </c>
      <c r="T165" s="432" t="s">
        <v>108</v>
      </c>
      <c r="U165" s="432">
        <f>IF(T165="S",$C165,0)</f>
        <v>2</v>
      </c>
      <c r="V165" s="461" t="s">
        <v>108</v>
      </c>
      <c r="W165" s="76">
        <f>IF(V165="S",$C165,0)</f>
        <v>2</v>
      </c>
      <c r="X165" s="471" t="s">
        <v>108</v>
      </c>
      <c r="Y165" s="164">
        <f>IF(X165="S",$C165,0)</f>
        <v>2</v>
      </c>
      <c r="Z165" s="76"/>
      <c r="AA165" s="76">
        <f>IF(Z165="S",$C165,0)</f>
        <v>0</v>
      </c>
      <c r="AB165" s="114" t="s">
        <v>666</v>
      </c>
      <c r="AC165" s="76">
        <f>IF(AB165="S",$C165,0)</f>
        <v>2</v>
      </c>
      <c r="AD165" s="461" t="s">
        <v>108</v>
      </c>
      <c r="AE165" s="76">
        <f>IF(AD165="S",$C165,0)</f>
        <v>2</v>
      </c>
      <c r="AF165" s="470" t="s">
        <v>108</v>
      </c>
      <c r="AG165" s="76">
        <f>IF(AF165="S",$C165,0)</f>
        <v>2</v>
      </c>
      <c r="AH165" s="76"/>
      <c r="AI165" s="76">
        <f>IF(AH165="S",$C165,0)</f>
        <v>0</v>
      </c>
      <c r="AJ165" s="76"/>
      <c r="AK165" s="76">
        <f>IF(AJ165="S",$C165,0)</f>
        <v>0</v>
      </c>
      <c r="AL165" s="164"/>
      <c r="AM165" s="164">
        <f>IF(AL165="S",$C165,0)</f>
        <v>0</v>
      </c>
    </row>
    <row r="166" spans="1:39" x14ac:dyDescent="0.25">
      <c r="A166" s="70"/>
      <c r="B166" s="456" t="s">
        <v>140</v>
      </c>
      <c r="C166" s="164">
        <v>1</v>
      </c>
      <c r="D166" s="164"/>
      <c r="E166" s="164">
        <f>IF(D166="S",$C166,0)</f>
        <v>0</v>
      </c>
      <c r="F166" s="76"/>
      <c r="G166" s="76">
        <f>IF(F166="S",$C166,0)</f>
        <v>0</v>
      </c>
      <c r="H166" s="404"/>
      <c r="I166" s="404">
        <f>IF(H166="S",$C166,0)</f>
        <v>0</v>
      </c>
      <c r="J166" s="76"/>
      <c r="K166" s="76"/>
      <c r="L166" s="411" t="s">
        <v>108</v>
      </c>
      <c r="M166" s="411">
        <f>IF(L166="S",$C166,0)</f>
        <v>1</v>
      </c>
      <c r="N166" s="411" t="s">
        <v>108</v>
      </c>
      <c r="O166" s="76">
        <f>IF(N166="S",$C166,0)</f>
        <v>1</v>
      </c>
      <c r="P166" s="76"/>
      <c r="Q166" s="76">
        <f>IF(P166="S",$C166,0)</f>
        <v>0</v>
      </c>
      <c r="R166" s="470"/>
      <c r="S166" s="164">
        <f>IF(R166="S",$C166,0)</f>
        <v>0</v>
      </c>
      <c r="T166" s="432"/>
      <c r="U166" s="432">
        <f>IF(T166="S",$C166,0)</f>
        <v>0</v>
      </c>
      <c r="V166" s="76"/>
      <c r="W166" s="76">
        <f>IF(V166="S",$C166,0)</f>
        <v>0</v>
      </c>
      <c r="X166" s="471"/>
      <c r="Y166" s="164">
        <f>IF(X166="S",$C166,0)</f>
        <v>0</v>
      </c>
      <c r="Z166" s="76"/>
      <c r="AA166" s="76">
        <f>IF(Z166="S",$C166,0)</f>
        <v>0</v>
      </c>
      <c r="AB166" s="433"/>
      <c r="AC166" s="76">
        <f>IF(AB166="S",$C166,0)</f>
        <v>0</v>
      </c>
      <c r="AD166" s="76"/>
      <c r="AE166" s="76"/>
      <c r="AF166" s="470"/>
      <c r="AG166" s="76">
        <f>IF(AF166="S",$C166,0)</f>
        <v>0</v>
      </c>
      <c r="AH166" s="76"/>
      <c r="AI166" s="76">
        <f>IF(AH166="S",$C166,0)</f>
        <v>0</v>
      </c>
      <c r="AJ166" s="461" t="s">
        <v>108</v>
      </c>
      <c r="AK166" s="76">
        <f>IF(AJ166="S",$C166,0)</f>
        <v>1</v>
      </c>
      <c r="AL166" s="164"/>
      <c r="AM166" s="164">
        <f>IF(AL166="S",$C166,0)</f>
        <v>0</v>
      </c>
    </row>
    <row r="167" spans="1:39" x14ac:dyDescent="0.25">
      <c r="A167" s="418" t="s">
        <v>221</v>
      </c>
      <c r="B167" s="97" t="s">
        <v>65</v>
      </c>
      <c r="C167" s="116">
        <v>0</v>
      </c>
      <c r="D167" s="1029"/>
      <c r="E167" s="1029" t="str">
        <f>IF(D167&gt;49,$C169,IF(D167&gt;34,$C168,IF(D167&gt;0,$C167,IF(D167=0,"0"))))</f>
        <v>0</v>
      </c>
      <c r="F167" s="976"/>
      <c r="G167" s="976" t="str">
        <f>IF(F167&gt;49,$C169,IF(F167&gt;34,$C168,IF(F167&gt;0,$C167,IF(F167=0,"0"))))</f>
        <v>0</v>
      </c>
      <c r="H167" s="976">
        <v>30</v>
      </c>
      <c r="I167" s="976">
        <f>IF(H167&gt;49,$C169,IF(H167&gt;34,$C168,IF(H167&gt;0,$C167,IF(H167=0,"0"))))</f>
        <v>0</v>
      </c>
      <c r="J167" s="976">
        <v>25</v>
      </c>
      <c r="K167" s="976">
        <f>IF(J167&gt;49,$C169,IF(J167&gt;34,$C168,IF(J167&gt;0,$C167,IF(J167=0,"0"))))</f>
        <v>0</v>
      </c>
      <c r="L167" s="976">
        <v>40</v>
      </c>
      <c r="M167" s="976">
        <f>IF(L167&gt;50,$C169,IF(L167&gt;34,$C168,IF(L167&gt;0,$C167,IF(L167=0,"0"))))</f>
        <v>2</v>
      </c>
      <c r="N167" s="976">
        <v>40</v>
      </c>
      <c r="O167" s="976">
        <f>IF(N167&gt;50,$C169,IF(N167&gt;34,$C168,IF(N167&gt;0,$C167,IF(N167=0,"0"))))</f>
        <v>2</v>
      </c>
      <c r="P167" s="976"/>
      <c r="Q167" s="976" t="str">
        <f>IF(P167&gt;49,$C169,IF(P167&gt;34,$C168,IF(P167&gt;0,$C167,IF(P167=0,"0"))))</f>
        <v>0</v>
      </c>
      <c r="R167" s="976"/>
      <c r="S167" s="976" t="str">
        <f>IF(R167&gt;50,$C169,IF(R167&gt;34,$C168,IF(R167&gt;0,$C167,IF(R167=0,"0"))))</f>
        <v>0</v>
      </c>
      <c r="T167" s="1029">
        <v>70</v>
      </c>
      <c r="U167" s="976">
        <f>IF(T167&gt;50,$C169,IF(T167&gt;34,$C168,IF(T167&gt;0,$C167,IF(T167=0,"0"))))</f>
        <v>4</v>
      </c>
      <c r="V167" s="976">
        <v>70</v>
      </c>
      <c r="W167" s="976">
        <f>IF(V167&gt;50,$C169,IF(V167&gt;34,$C168,IF(V167&gt;0,$C167,IF(V167=0,"0"))))</f>
        <v>4</v>
      </c>
      <c r="X167" s="976">
        <v>25</v>
      </c>
      <c r="Y167" s="976">
        <f>IF(X167&gt;50,$C169,IF(X167&gt;34,$C168,IF(X167&gt;0,$C167,IF(X167=0,"0"))))</f>
        <v>0</v>
      </c>
      <c r="Z167" s="976"/>
      <c r="AA167" s="976" t="str">
        <f>IF(Z167&gt;49,$C169,IF(Z167&gt;34,$C168,IF(Z167&gt;0,$C167,IF(Z167=0,"0"))))</f>
        <v>0</v>
      </c>
      <c r="AB167" s="976">
        <v>65</v>
      </c>
      <c r="AC167" s="976">
        <f>IF(AB167&gt;50,$C169,IF(AB167&gt;34,$C168,IF(AB167&gt;0,$C167,IF(AB167=0,"0"))))</f>
        <v>4</v>
      </c>
      <c r="AD167" s="1029">
        <v>50</v>
      </c>
      <c r="AE167" s="976">
        <f>IF(AD167&gt;50,$C169,IF(AD167&gt;34,$C168,IF(AD167&gt;0,$C167,IF(AD167=0,"0"))))</f>
        <v>2</v>
      </c>
      <c r="AF167" s="976">
        <v>34</v>
      </c>
      <c r="AG167" s="976">
        <f>IF(AF167&gt;50,$C169,IF(AF167&gt;34,$C168,IF(AF167&gt;0,$C167,IF(AF167=0,"0"))))</f>
        <v>0</v>
      </c>
      <c r="AH167" s="976"/>
      <c r="AI167" s="976" t="str">
        <f>IF(AH167&gt;49,$C169,IF(AH167&gt;34,$C168,IF(AH167&gt;0,$C167,IF(AH167=0,"0"))))</f>
        <v>0</v>
      </c>
      <c r="AJ167" s="1029"/>
      <c r="AK167" s="976" t="str">
        <f>IF(AJ167&gt;50,$C169,IF(AJ167&gt;34,$C168,IF(AJ167&gt;0,$C167,IF(AJ167=0,"0"))))</f>
        <v>0</v>
      </c>
      <c r="AL167" s="189"/>
      <c r="AM167" s="166" t="str">
        <f>IF(AL167&gt;49,$C169,IF(AL167&gt;34,$C168,IF(AL167&gt;0,$C167,IF(AL167=0,"0"))))</f>
        <v>0</v>
      </c>
    </row>
    <row r="168" spans="1:39" ht="13.8" x14ac:dyDescent="0.3">
      <c r="A168" s="457">
        <v>4</v>
      </c>
      <c r="B168" s="415" t="s">
        <v>1123</v>
      </c>
      <c r="C168" s="116">
        <v>2</v>
      </c>
      <c r="D168" s="1031"/>
      <c r="E168" s="1030"/>
      <c r="F168" s="977"/>
      <c r="G168" s="977"/>
      <c r="H168" s="977"/>
      <c r="I168" s="977"/>
      <c r="J168" s="977"/>
      <c r="K168" s="977"/>
      <c r="L168" s="977"/>
      <c r="M168" s="977"/>
      <c r="N168" s="977"/>
      <c r="O168" s="977"/>
      <c r="P168" s="977"/>
      <c r="Q168" s="977"/>
      <c r="R168" s="977"/>
      <c r="S168" s="977"/>
      <c r="T168" s="1030"/>
      <c r="U168" s="977"/>
      <c r="V168" s="977"/>
      <c r="W168" s="977"/>
      <c r="X168" s="977"/>
      <c r="Y168" s="977"/>
      <c r="Z168" s="977"/>
      <c r="AA168" s="977"/>
      <c r="AB168" s="977"/>
      <c r="AC168" s="977"/>
      <c r="AD168" s="1031"/>
      <c r="AE168" s="977"/>
      <c r="AF168" s="977"/>
      <c r="AG168" s="977"/>
      <c r="AH168" s="977"/>
      <c r="AI168" s="977"/>
      <c r="AJ168" s="1031"/>
      <c r="AK168" s="977"/>
      <c r="AL168" s="190"/>
      <c r="AM168" s="167"/>
    </row>
    <row r="169" spans="1:39" x14ac:dyDescent="0.25">
      <c r="A169" s="458"/>
      <c r="B169" s="415" t="s">
        <v>1124</v>
      </c>
      <c r="C169" s="116">
        <f>A168</f>
        <v>4</v>
      </c>
      <c r="D169" s="1032"/>
      <c r="E169" s="1033"/>
      <c r="F169" s="978"/>
      <c r="G169" s="978"/>
      <c r="H169" s="978"/>
      <c r="I169" s="978"/>
      <c r="J169" s="978"/>
      <c r="K169" s="978"/>
      <c r="L169" s="978"/>
      <c r="M169" s="978"/>
      <c r="N169" s="978"/>
      <c r="O169" s="978"/>
      <c r="P169" s="978"/>
      <c r="Q169" s="978"/>
      <c r="R169" s="978"/>
      <c r="S169" s="978"/>
      <c r="T169" s="1033"/>
      <c r="U169" s="978"/>
      <c r="V169" s="978"/>
      <c r="W169" s="978"/>
      <c r="X169" s="978"/>
      <c r="Y169" s="978"/>
      <c r="Z169" s="978"/>
      <c r="AA169" s="978"/>
      <c r="AB169" s="978"/>
      <c r="AC169" s="978"/>
      <c r="AD169" s="1032"/>
      <c r="AE169" s="978"/>
      <c r="AF169" s="978"/>
      <c r="AG169" s="978"/>
      <c r="AH169" s="978"/>
      <c r="AI169" s="978"/>
      <c r="AJ169" s="1032"/>
      <c r="AK169" s="978"/>
      <c r="AL169" s="191"/>
      <c r="AM169" s="168"/>
    </row>
    <row r="170" spans="1:39" x14ac:dyDescent="0.25">
      <c r="A170" s="124" t="s">
        <v>45</v>
      </c>
      <c r="B170" s="288" t="s">
        <v>65</v>
      </c>
      <c r="C170" s="76">
        <v>0</v>
      </c>
      <c r="D170" s="979"/>
      <c r="E170" s="979" t="str">
        <f>IF(D170&gt;49,$C172,IF(D170&gt;34,$C171,IF(D170&gt;0,$C170,IF(D170=0,"0"))))</f>
        <v>0</v>
      </c>
      <c r="F170" s="979"/>
      <c r="G170" s="979" t="str">
        <f>IF(F170&gt;49,$C172,IF(F170&gt;34,$C171,IF(F170&gt;0,$C170,IF(F170=0,"0"))))</f>
        <v>0</v>
      </c>
      <c r="H170" s="979">
        <v>30</v>
      </c>
      <c r="I170" s="979">
        <f>IF(H170&gt;49,$C172,IF(H170&gt;34,$C171,IF(H170&gt;0,$C170,IF(H170=0,"0"))))</f>
        <v>0</v>
      </c>
      <c r="J170" s="979">
        <v>30</v>
      </c>
      <c r="K170" s="979">
        <f>IF(J170&gt;49,$C172,IF(J170&gt;34,$C171,IF(J170&gt;0,$C170,IF(J170=0,"0"))))</f>
        <v>0</v>
      </c>
      <c r="L170" s="979">
        <v>40</v>
      </c>
      <c r="M170" s="979">
        <f>IF(L170&gt;50,$C172,IF(L170&gt;34,$C171,IF(L170&gt;0,$C170,IF(L170=0,"0"))))</f>
        <v>2</v>
      </c>
      <c r="N170" s="979">
        <v>40</v>
      </c>
      <c r="O170" s="979">
        <f>IF(N170&gt;50,$C172,IF(N170&gt;34,$C171,IF(N170&gt;0,$C170,IF(N170=0,"0"))))</f>
        <v>2</v>
      </c>
      <c r="P170" s="979"/>
      <c r="Q170" s="979" t="str">
        <f>IF(P170&gt;49,$C172,IF(P170&gt;34,$C171,IF(P170&gt;0,$C170,IF(P170=0,"0"))))</f>
        <v>0</v>
      </c>
      <c r="R170" s="979">
        <v>60</v>
      </c>
      <c r="S170" s="979">
        <f>IF(R170&gt;50,$C172,IF(R170&gt;34,$C171,IF(R170&gt;0,$C170,IF(R170=0,"0"))))</f>
        <v>4</v>
      </c>
      <c r="T170" s="979">
        <v>70</v>
      </c>
      <c r="U170" s="979">
        <f>IF(T170&gt;50,$C172,IF(T170&gt;34,$C171,IF(T170&gt;0,$C170,IF(T170=0,"0"))))</f>
        <v>4</v>
      </c>
      <c r="V170" s="979">
        <v>80</v>
      </c>
      <c r="W170" s="979">
        <f>IF(V170&gt;50,$C172,IF(V170&gt;34,$C171,IF(V170&gt;0,$C170,IF(V170=0,"0"))))</f>
        <v>4</v>
      </c>
      <c r="X170" s="979">
        <v>55</v>
      </c>
      <c r="Y170" s="979">
        <f>IF(X170&gt;50,$C172,IF(X170&gt;34,$C171,IF(X170&gt;0,$C170,IF(X170=0,"0"))))</f>
        <v>4</v>
      </c>
      <c r="Z170" s="979"/>
      <c r="AA170" s="979" t="str">
        <f>IF(Z170&gt;49,$C172,IF(Z170&gt;34,$C171,IF(Z170&gt;0,$C170,IF(Z170=0,"0"))))</f>
        <v>0</v>
      </c>
      <c r="AB170" s="979">
        <v>65</v>
      </c>
      <c r="AC170" s="979">
        <f>IF(AB170&gt;50,$C172,IF(AB170&gt;34,$C171,IF(AB170&gt;0,$C170,IF(AB170=0,"0"))))</f>
        <v>4</v>
      </c>
      <c r="AD170" s="979">
        <v>50</v>
      </c>
      <c r="AE170" s="979">
        <f>IF(AD170&gt;50,$C172,IF(AD170&gt;34,$C171,IF(AD170&gt;0,$C170,IF(AD170=0,"0"))))</f>
        <v>2</v>
      </c>
      <c r="AF170" s="979">
        <v>34</v>
      </c>
      <c r="AG170" s="979">
        <f>IF(AF170&gt;50,$C172,IF(AF170&gt;34,$C171,IF(AF170&gt;0,$C170,IF(AF170=0,"0"))))</f>
        <v>0</v>
      </c>
      <c r="AH170" s="169"/>
      <c r="AI170" s="169" t="str">
        <f>IF(AH170&gt;49,$C172,IF(AH170&gt;34,$C171,IF(AH170&gt;0,$C170,IF(AH170=0,"0"))))</f>
        <v>0</v>
      </c>
      <c r="AJ170" s="979"/>
      <c r="AK170" s="979" t="str">
        <f>IF(AJ170&gt;50,$C172,IF(AJ170&gt;34,$C171,IF(AJ170&gt;0,$C170,IF(AJ170=0,"0"))))</f>
        <v>0</v>
      </c>
      <c r="AL170" s="169"/>
      <c r="AM170" s="169" t="str">
        <f>IF(AL170&gt;49,$C172,IF(AL170&gt;34,$C171,IF(AL170&gt;0,$C170,IF(AL170=0,"0"))))</f>
        <v>0</v>
      </c>
    </row>
    <row r="171" spans="1:39" ht="13.8" x14ac:dyDescent="0.3">
      <c r="A171" s="69">
        <v>4</v>
      </c>
      <c r="B171" s="307" t="s">
        <v>1123</v>
      </c>
      <c r="C171" s="76">
        <v>2</v>
      </c>
      <c r="D171" s="990"/>
      <c r="E171" s="980"/>
      <c r="F171" s="980"/>
      <c r="G171" s="980"/>
      <c r="H171" s="980"/>
      <c r="I171" s="980"/>
      <c r="J171" s="980"/>
      <c r="K171" s="980"/>
      <c r="L171" s="980"/>
      <c r="M171" s="980"/>
      <c r="N171" s="980"/>
      <c r="O171" s="980"/>
      <c r="P171" s="980"/>
      <c r="Q171" s="980"/>
      <c r="R171" s="980"/>
      <c r="S171" s="980"/>
      <c r="T171" s="980"/>
      <c r="U171" s="980"/>
      <c r="V171" s="980"/>
      <c r="W171" s="980"/>
      <c r="X171" s="980"/>
      <c r="Y171" s="980"/>
      <c r="Z171" s="980"/>
      <c r="AA171" s="980"/>
      <c r="AB171" s="980"/>
      <c r="AC171" s="980"/>
      <c r="AD171" s="980"/>
      <c r="AE171" s="980"/>
      <c r="AF171" s="980"/>
      <c r="AG171" s="980"/>
      <c r="AH171" s="170"/>
      <c r="AI171" s="170"/>
      <c r="AJ171" s="980"/>
      <c r="AK171" s="980"/>
      <c r="AL171" s="170"/>
      <c r="AM171" s="170"/>
    </row>
    <row r="172" spans="1:39" x14ac:dyDescent="0.25">
      <c r="A172" s="70"/>
      <c r="B172" s="307" t="s">
        <v>1124</v>
      </c>
      <c r="C172" s="76">
        <v>4</v>
      </c>
      <c r="D172" s="991"/>
      <c r="E172" s="981"/>
      <c r="F172" s="981"/>
      <c r="G172" s="981"/>
      <c r="H172" s="981"/>
      <c r="I172" s="981"/>
      <c r="J172" s="981"/>
      <c r="K172" s="981"/>
      <c r="L172" s="981"/>
      <c r="M172" s="981"/>
      <c r="N172" s="981"/>
      <c r="O172" s="981"/>
      <c r="P172" s="981"/>
      <c r="Q172" s="981"/>
      <c r="R172" s="981"/>
      <c r="S172" s="981"/>
      <c r="T172" s="981"/>
      <c r="U172" s="981"/>
      <c r="V172" s="981"/>
      <c r="W172" s="981"/>
      <c r="X172" s="981"/>
      <c r="Y172" s="981"/>
      <c r="Z172" s="981"/>
      <c r="AA172" s="981"/>
      <c r="AB172" s="981"/>
      <c r="AC172" s="981"/>
      <c r="AD172" s="981"/>
      <c r="AE172" s="981"/>
      <c r="AF172" s="981"/>
      <c r="AG172" s="981"/>
      <c r="AH172" s="171"/>
      <c r="AI172" s="171"/>
      <c r="AJ172" s="981"/>
      <c r="AK172" s="981"/>
      <c r="AL172" s="171"/>
      <c r="AM172" s="171"/>
    </row>
    <row r="173" spans="1:39" x14ac:dyDescent="0.25">
      <c r="A173" s="268" t="s">
        <v>205</v>
      </c>
      <c r="B173" s="97" t="s">
        <v>226</v>
      </c>
      <c r="C173" s="116">
        <f>A174</f>
        <v>3</v>
      </c>
      <c r="D173" s="1029"/>
      <c r="E173" s="1029" t="str">
        <f>IF(D173&gt;41,$C173,IF(D173&gt;0,C174,IF(D173=0,"0")))</f>
        <v>0</v>
      </c>
      <c r="F173" s="976"/>
      <c r="G173" s="976" t="str">
        <f>IF(F173&gt;41,$C173,IF(F173&gt;0,E174,IF(F173=0,"0")))</f>
        <v>0</v>
      </c>
      <c r="H173" s="976">
        <v>49</v>
      </c>
      <c r="I173" s="976">
        <f>IF(H173&gt;41,$C173,IF(H173&gt;0,G174,IF(H173=0,"0")))</f>
        <v>3</v>
      </c>
      <c r="J173" s="976">
        <v>47</v>
      </c>
      <c r="K173" s="976">
        <f>IF(J173&gt;41,$C173,IF(J173&gt;0,I174,IF(J173=0,"0")))</f>
        <v>3</v>
      </c>
      <c r="L173" s="976">
        <v>47</v>
      </c>
      <c r="M173" s="976">
        <f>IF(L173&gt;41,$C173,IF(L173&gt;0,K174,IF(L173=0,"0")))</f>
        <v>3</v>
      </c>
      <c r="N173" s="976">
        <v>47</v>
      </c>
      <c r="O173" s="976">
        <f>IF(N173&gt;41,$C173,IF(N173&gt;0,M174,IF(N173=0,"0")))</f>
        <v>3</v>
      </c>
      <c r="P173" s="976"/>
      <c r="Q173" s="976" t="str">
        <f>IF(P173&gt;41,$C173,IF(P173&gt;0,O174,IF(P173=0,"0")))</f>
        <v>0</v>
      </c>
      <c r="R173" s="1029">
        <v>42</v>
      </c>
      <c r="S173" s="1029">
        <f>IF(R173&gt;41,$C173,IF(R173&gt;0,Q174,IF(R173=0,"0")))</f>
        <v>3</v>
      </c>
      <c r="T173" s="1029">
        <v>49</v>
      </c>
      <c r="U173" s="1029">
        <f>IF(T173&gt;41,$C173,IF(T173&gt;0,S174,IF(T173=0,"0")))</f>
        <v>3</v>
      </c>
      <c r="V173" s="976">
        <v>46</v>
      </c>
      <c r="W173" s="976">
        <f>IF(V173&gt;41,$C173,IF(V173&gt;0,U174,IF(V173=0,"0")))</f>
        <v>3</v>
      </c>
      <c r="X173" s="976">
        <v>48</v>
      </c>
      <c r="Y173" s="1029">
        <f>IF(X173&gt;41,$C173,IF(X173&gt;0,W174,IF(X173=0,"0")))</f>
        <v>3</v>
      </c>
      <c r="Z173" s="976"/>
      <c r="AA173" s="976" t="str">
        <f>IF(Z173&gt;41,$C173,IF(Z173&gt;0,Y174,IF(Z173=0,"0")))</f>
        <v>0</v>
      </c>
      <c r="AB173" s="976">
        <v>46</v>
      </c>
      <c r="AC173" s="976">
        <f>IF(AB173&gt;41,$C173,IF(AB173&gt;0,AA174,IF(AB173=0,"0")))</f>
        <v>3</v>
      </c>
      <c r="AD173" s="1029">
        <v>46</v>
      </c>
      <c r="AE173" s="1029">
        <f>IF(AD173&gt;41,$C173,IF(AD173&gt;0,AC174,IF(AD173=0,"0")))</f>
        <v>3</v>
      </c>
      <c r="AF173" s="1029">
        <v>45</v>
      </c>
      <c r="AG173" s="1029">
        <f>IF(AF173&gt;41,$C173,IF(AF173&gt;0,AE174,IF(AF173=0,"0")))</f>
        <v>3</v>
      </c>
      <c r="AH173" s="976"/>
      <c r="AI173" s="976" t="str">
        <f>IF(AH173&gt;41,$C173,IF(AH173&gt;0,AG174,IF(AH173=0,"0")))</f>
        <v>0</v>
      </c>
      <c r="AJ173" s="1029">
        <v>43</v>
      </c>
      <c r="AK173" s="1029">
        <f>IF(AJ173&gt;41,$C173,IF(AJ173&gt;0,AI174,IF(AJ173=0,"0")))</f>
        <v>3</v>
      </c>
      <c r="AL173" s="166"/>
      <c r="AM173" s="166" t="str">
        <f>IF(AL173&gt;41,$C173,IF(AL173&gt;0,AK174,IF(AL173=0,"0")))</f>
        <v>0</v>
      </c>
    </row>
    <row r="174" spans="1:39" x14ac:dyDescent="0.25">
      <c r="A174" s="455">
        <v>3</v>
      </c>
      <c r="B174" s="97" t="s">
        <v>222</v>
      </c>
      <c r="C174" s="86">
        <v>0</v>
      </c>
      <c r="D174" s="1030"/>
      <c r="E174" s="1030"/>
      <c r="F174" s="977"/>
      <c r="G174" s="977"/>
      <c r="H174" s="977"/>
      <c r="I174" s="977"/>
      <c r="J174" s="977"/>
      <c r="K174" s="977"/>
      <c r="L174" s="977"/>
      <c r="M174" s="977"/>
      <c r="N174" s="977"/>
      <c r="O174" s="977"/>
      <c r="P174" s="977"/>
      <c r="Q174" s="977"/>
      <c r="R174" s="1030"/>
      <c r="S174" s="1030"/>
      <c r="T174" s="1033"/>
      <c r="U174" s="1033"/>
      <c r="V174" s="977"/>
      <c r="W174" s="977"/>
      <c r="X174" s="977"/>
      <c r="Y174" s="1030"/>
      <c r="Z174" s="977"/>
      <c r="AA174" s="977"/>
      <c r="AB174" s="977"/>
      <c r="AC174" s="977"/>
      <c r="AD174" s="1030"/>
      <c r="AE174" s="1030"/>
      <c r="AF174" s="1030"/>
      <c r="AG174" s="1030"/>
      <c r="AH174" s="977"/>
      <c r="AI174" s="977"/>
      <c r="AJ174" s="1030"/>
      <c r="AK174" s="1030"/>
      <c r="AL174" s="167"/>
      <c r="AM174" s="167"/>
    </row>
    <row r="175" spans="1:39" x14ac:dyDescent="0.25">
      <c r="A175" s="124" t="s">
        <v>206</v>
      </c>
      <c r="B175" s="288" t="s">
        <v>208</v>
      </c>
      <c r="C175" s="76">
        <f>A176</f>
        <v>3</v>
      </c>
      <c r="D175" s="979"/>
      <c r="E175" s="979" t="str">
        <f>IF(D175&gt;39,$C175,IF(D175&gt;0,$C176,IF(D175=0,"0")))</f>
        <v>0</v>
      </c>
      <c r="F175" s="979"/>
      <c r="G175" s="979" t="str">
        <f>IF(F175&gt;39,$C175,IF(F175&gt;0,$C176,IF(F175=0,"0")))</f>
        <v>0</v>
      </c>
      <c r="H175" s="979">
        <v>47</v>
      </c>
      <c r="I175" s="979">
        <f>IF(H175&gt;39,$C175,IF(H175&gt;0,$C176,IF(H175=0,"0")))</f>
        <v>3</v>
      </c>
      <c r="J175" s="979">
        <v>44</v>
      </c>
      <c r="K175" s="979">
        <f>IF(J175&gt;39,$C175,IF(J175&gt;0,$C176,IF(J175=0,"0")))</f>
        <v>3</v>
      </c>
      <c r="L175" s="979">
        <v>47</v>
      </c>
      <c r="M175" s="979">
        <f>IF(L175&gt;39,$C175,IF(L175&gt;0,$C176,IF(L175=0,"0")))</f>
        <v>3</v>
      </c>
      <c r="N175" s="979">
        <v>47</v>
      </c>
      <c r="O175" s="979">
        <f>IF(N175&gt;39,$C175,IF(N175&gt;0,$C176,IF(N175=0,"0")))</f>
        <v>3</v>
      </c>
      <c r="P175" s="979"/>
      <c r="Q175" s="979" t="str">
        <f>IF(P175&gt;39,$C175,IF(P175&gt;0,$C176,IF(P175=0,"0")))</f>
        <v>0</v>
      </c>
      <c r="R175" s="979">
        <v>48</v>
      </c>
      <c r="S175" s="979">
        <f>IF(R175&gt;39,$C175,IF(R175&gt;0,$C176,IF(R175=0,"0")))</f>
        <v>3</v>
      </c>
      <c r="T175" s="979">
        <v>47</v>
      </c>
      <c r="U175" s="979">
        <f>IF(T175&gt;39,$C175,IF(T175&gt;0,$C176,IF(T175=0,"0")))</f>
        <v>3</v>
      </c>
      <c r="V175" s="979">
        <v>44</v>
      </c>
      <c r="W175" s="979">
        <f>IF(V175&gt;39,$C175,IF(V175&gt;0,$C176,IF(V175=0,"0")))</f>
        <v>3</v>
      </c>
      <c r="X175" s="979">
        <v>50</v>
      </c>
      <c r="Y175" s="979">
        <f>IF(X175&gt;39,$C175,IF(X175&gt;0,$C176,IF(X175=0,"0")))</f>
        <v>3</v>
      </c>
      <c r="Z175" s="979"/>
      <c r="AA175" s="979" t="str">
        <f>IF(Z175&gt;39,$C175,IF(Z175&gt;0,$C176,IF(Z175=0,"0")))</f>
        <v>0</v>
      </c>
      <c r="AB175" s="979">
        <v>48</v>
      </c>
      <c r="AC175" s="979">
        <f>IF(AB175&gt;39,$C175,IF(AB175&gt;0,$C176,IF(AB175=0,"0")))</f>
        <v>3</v>
      </c>
      <c r="AD175" s="979">
        <v>45</v>
      </c>
      <c r="AE175" s="979">
        <f>IF(AD175&gt;39,$C175,IF(AD175&gt;0,$C176,IF(AD175=0,"0")))</f>
        <v>3</v>
      </c>
      <c r="AF175" s="979">
        <v>43</v>
      </c>
      <c r="AG175" s="979">
        <f>IF(AF175&gt;39,$C175,IF(AF175&gt;0,$C176,IF(AF175=0,"0")))</f>
        <v>3</v>
      </c>
      <c r="AH175" s="979"/>
      <c r="AI175" s="979" t="str">
        <f>IF(AH175&gt;39,$C175,IF(AH175&gt;0,$C176,IF(AH175=0,"0")))</f>
        <v>0</v>
      </c>
      <c r="AJ175" s="979">
        <v>38</v>
      </c>
      <c r="AK175" s="979">
        <f>IF(AJ175&gt;39,$C175,IF(AJ175&gt;0,$C176,IF(AJ175=0,"0")))</f>
        <v>0</v>
      </c>
      <c r="AL175" s="169"/>
      <c r="AM175" s="169" t="str">
        <f>IF(AL175&gt;39,$C175,IF(AL175&gt;0,$C176,IF(AL175=0,"0")))</f>
        <v>0</v>
      </c>
    </row>
    <row r="176" spans="1:39" x14ac:dyDescent="0.25">
      <c r="A176" s="414">
        <v>3</v>
      </c>
      <c r="B176" s="288" t="s">
        <v>197</v>
      </c>
      <c r="C176" s="164">
        <v>0</v>
      </c>
      <c r="D176" s="980"/>
      <c r="E176" s="980"/>
      <c r="F176" s="980"/>
      <c r="G176" s="980"/>
      <c r="H176" s="980"/>
      <c r="I176" s="980"/>
      <c r="J176" s="980"/>
      <c r="K176" s="980"/>
      <c r="L176" s="980"/>
      <c r="M176" s="980"/>
      <c r="N176" s="980"/>
      <c r="O176" s="980"/>
      <c r="P176" s="980"/>
      <c r="Q176" s="980"/>
      <c r="R176" s="980"/>
      <c r="S176" s="980"/>
      <c r="T176" s="981"/>
      <c r="U176" s="981"/>
      <c r="V176" s="980"/>
      <c r="W176" s="980"/>
      <c r="X176" s="980"/>
      <c r="Y176" s="980"/>
      <c r="Z176" s="980"/>
      <c r="AA176" s="980"/>
      <c r="AB176" s="980"/>
      <c r="AC176" s="980"/>
      <c r="AD176" s="980"/>
      <c r="AE176" s="980"/>
      <c r="AF176" s="980"/>
      <c r="AG176" s="980"/>
      <c r="AH176" s="980"/>
      <c r="AI176" s="980"/>
      <c r="AJ176" s="980"/>
      <c r="AK176" s="980"/>
      <c r="AL176" s="170"/>
      <c r="AM176" s="170"/>
    </row>
    <row r="177" spans="1:39" x14ac:dyDescent="0.25">
      <c r="A177" s="120" t="s">
        <v>207</v>
      </c>
      <c r="B177" s="97" t="s">
        <v>223</v>
      </c>
      <c r="C177" s="116">
        <f>A178</f>
        <v>3</v>
      </c>
      <c r="D177" s="1029"/>
      <c r="E177" s="1029" t="str">
        <f>IF(D177&gt;37,$C177,IF(D177&gt;0,$C178,IF(D177=0,"0")))</f>
        <v>0</v>
      </c>
      <c r="F177" s="976"/>
      <c r="G177" s="976" t="str">
        <f>IF(F177&gt;39,$C177,IF(F177&gt;0,$C178,IF(F177=0,"0")))</f>
        <v>0</v>
      </c>
      <c r="H177" s="976">
        <v>49</v>
      </c>
      <c r="I177" s="976">
        <f>IF(H177&gt;39,$C177,IF(H177&gt;0,$C178,IF(H177=0,"0")))</f>
        <v>3</v>
      </c>
      <c r="J177" s="976">
        <v>46</v>
      </c>
      <c r="K177" s="976">
        <f>IF(J177&gt;39,$C177,IF(J177&gt;0,$C178,IF(J177=0,"0")))</f>
        <v>3</v>
      </c>
      <c r="L177" s="976">
        <v>45</v>
      </c>
      <c r="M177" s="976">
        <f>IF(L177&gt;39,$C177,IF(L177&gt;0,$C178,IF(L177=0,"0")))</f>
        <v>3</v>
      </c>
      <c r="N177" s="976">
        <v>45</v>
      </c>
      <c r="O177" s="976">
        <f>IF(N177&gt;39,$C177,IF(N177&gt;0,$C178,IF(N177=0,"0")))</f>
        <v>3</v>
      </c>
      <c r="P177" s="976"/>
      <c r="Q177" s="976" t="str">
        <f>IF(P177&gt;39,$C177,IF(P177&gt;0,$C178,IF(P177=0,"0")))</f>
        <v>0</v>
      </c>
      <c r="R177" s="976">
        <v>45</v>
      </c>
      <c r="S177" s="1029">
        <f>IF(R177&gt;39,$C177,IF(R177&gt;0,$C178,IF(R177=0,"0")))</f>
        <v>3</v>
      </c>
      <c r="T177" s="1029">
        <v>46</v>
      </c>
      <c r="U177" s="1029">
        <f>IF(T177&gt;37,$C177,IF(T177&gt;0,$C178,IF(T177=0,"0")))</f>
        <v>3</v>
      </c>
      <c r="V177" s="976">
        <v>45</v>
      </c>
      <c r="W177" s="976">
        <f>IF(V177&gt;39,$C177,IF(V177&gt;0,$C178,IF(V177=0,"0")))</f>
        <v>3</v>
      </c>
      <c r="X177" s="976">
        <v>45</v>
      </c>
      <c r="Y177" s="1029">
        <f>IF(X177&gt;37,$C177,IF(X177&gt;0,$C178,IF(X177=0,"0")))</f>
        <v>3</v>
      </c>
      <c r="Z177" s="976"/>
      <c r="AA177" s="976" t="str">
        <f>IF(Z177&gt;39,$C177,IF(Z177&gt;0,$C178,IF(Z177=0,"0")))</f>
        <v>0</v>
      </c>
      <c r="AB177" s="976">
        <v>48</v>
      </c>
      <c r="AC177" s="1029">
        <f>IF(AB177&gt;37,$C177,IF(AB177&gt;0,$C178,IF(AB177=0,"0")))</f>
        <v>3</v>
      </c>
      <c r="AD177" s="1029">
        <v>45</v>
      </c>
      <c r="AE177" s="1029">
        <f>IF(AD177&gt;37,$C177,IF(AD177&gt;0,$C178,IF(AD177=0,"0")))</f>
        <v>3</v>
      </c>
      <c r="AF177" s="976">
        <v>46</v>
      </c>
      <c r="AG177" s="976">
        <f>IF(AF177&gt;39,$C177,IF(AF177&gt;0,$C178,IF(AF177=0,"0")))</f>
        <v>3</v>
      </c>
      <c r="AH177" s="1029"/>
      <c r="AI177" s="1029" t="str">
        <f>IF(AH177&gt;37,$C177,IF(AH177&gt;0,$C178,IF(AH177=0,"0")))</f>
        <v>0</v>
      </c>
      <c r="AJ177" s="976">
        <v>46</v>
      </c>
      <c r="AK177" s="976">
        <f>IF(AJ177&gt;39,$C177,IF(AJ177&gt;0,$C178,IF(AJ177=0,"0")))</f>
        <v>3</v>
      </c>
      <c r="AL177" s="189"/>
      <c r="AM177" s="166" t="str">
        <f>IF(AL177&gt;39,$C177,IF(AL177&gt;0,$C178,IF(AL177=0,"0")))</f>
        <v>0</v>
      </c>
    </row>
    <row r="178" spans="1:39" x14ac:dyDescent="0.25">
      <c r="A178" s="279">
        <v>3</v>
      </c>
      <c r="B178" s="97" t="s">
        <v>224</v>
      </c>
      <c r="C178" s="116">
        <v>0</v>
      </c>
      <c r="D178" s="1030"/>
      <c r="E178" s="1030"/>
      <c r="F178" s="977"/>
      <c r="G178" s="977"/>
      <c r="H178" s="978"/>
      <c r="I178" s="978"/>
      <c r="J178" s="977"/>
      <c r="K178" s="977"/>
      <c r="L178" s="978"/>
      <c r="M178" s="978"/>
      <c r="N178" s="978"/>
      <c r="O178" s="977"/>
      <c r="P178" s="977"/>
      <c r="Q178" s="977"/>
      <c r="R178" s="978"/>
      <c r="S178" s="1030"/>
      <c r="T178" s="1033"/>
      <c r="U178" s="1033"/>
      <c r="V178" s="977"/>
      <c r="W178" s="977"/>
      <c r="X178" s="978"/>
      <c r="Y178" s="1030"/>
      <c r="Z178" s="977"/>
      <c r="AA178" s="977"/>
      <c r="AB178" s="978"/>
      <c r="AC178" s="1030"/>
      <c r="AD178" s="1030"/>
      <c r="AE178" s="1030"/>
      <c r="AF178" s="978"/>
      <c r="AG178" s="977"/>
      <c r="AH178" s="1030"/>
      <c r="AI178" s="1030"/>
      <c r="AJ178" s="977"/>
      <c r="AK178" s="977"/>
      <c r="AL178" s="190"/>
      <c r="AM178" s="167"/>
    </row>
    <row r="179" spans="1:39" x14ac:dyDescent="0.25">
      <c r="A179" s="124" t="s">
        <v>41</v>
      </c>
      <c r="B179" s="110" t="s">
        <v>68</v>
      </c>
      <c r="C179" s="461">
        <v>0</v>
      </c>
      <c r="D179" s="461"/>
      <c r="E179" s="461">
        <f>IF(D179="S",$C179,0)</f>
        <v>0</v>
      </c>
      <c r="F179" s="461"/>
      <c r="G179" s="461">
        <f>IF(F179="S",$C179,0)</f>
        <v>0</v>
      </c>
      <c r="H179" s="461"/>
      <c r="I179" s="461">
        <f>IF(H179="S",$C179,0)</f>
        <v>0</v>
      </c>
      <c r="J179" s="471" t="s">
        <v>108</v>
      </c>
      <c r="K179" s="461">
        <f>IF(J179="S",$C179,0)</f>
        <v>0</v>
      </c>
      <c r="L179" s="461"/>
      <c r="M179" s="461">
        <f>IF(L179="S",$C179,0)</f>
        <v>0</v>
      </c>
      <c r="N179" s="461"/>
      <c r="O179" s="461">
        <f>IF(N179="S",$C179,0)</f>
        <v>0</v>
      </c>
      <c r="P179" s="461"/>
      <c r="Q179" s="461">
        <f>IF(P179="S",$C179,0)</f>
        <v>0</v>
      </c>
      <c r="R179" s="461"/>
      <c r="S179" s="461">
        <f>IF(R179="S",$C179,0)</f>
        <v>0</v>
      </c>
      <c r="T179" s="461"/>
      <c r="U179" s="461">
        <f>IF(T179="S",$C179,0)</f>
        <v>0</v>
      </c>
      <c r="V179" s="461" t="s">
        <v>108</v>
      </c>
      <c r="W179" s="461">
        <f>IF(V179="S",$C179,0)</f>
        <v>0</v>
      </c>
      <c r="X179" s="471" t="s">
        <v>108</v>
      </c>
      <c r="Y179" s="461">
        <f>IF(X179="S",$C179,0)</f>
        <v>0</v>
      </c>
      <c r="Z179" s="461"/>
      <c r="AA179" s="461">
        <f>IF(Z179="S",$C179,0)</f>
        <v>0</v>
      </c>
      <c r="AB179" s="461"/>
      <c r="AC179" s="461">
        <f>IF(AB179="S",$C179,0)</f>
        <v>0</v>
      </c>
      <c r="AD179" s="461"/>
      <c r="AE179" s="461">
        <f>IF(AD179="S",$C179,0)</f>
        <v>0</v>
      </c>
      <c r="AF179" s="461"/>
      <c r="AG179" s="461">
        <f>IF(AF179="S",$C179,0)</f>
        <v>0</v>
      </c>
      <c r="AH179" s="461"/>
      <c r="AI179" s="461">
        <f>IF(AH179="S",$C179,0)</f>
        <v>0</v>
      </c>
      <c r="AJ179" s="461"/>
      <c r="AK179" s="461">
        <f>IF(AJ179="S",$C179,0)</f>
        <v>0</v>
      </c>
      <c r="AL179" s="116"/>
      <c r="AM179" s="116">
        <f>IF(AL179="S",$C179,0)</f>
        <v>0</v>
      </c>
    </row>
    <row r="180" spans="1:39" x14ac:dyDescent="0.25">
      <c r="A180" s="107">
        <v>3</v>
      </c>
      <c r="B180" s="110" t="s">
        <v>69</v>
      </c>
      <c r="C180" s="461">
        <v>1</v>
      </c>
      <c r="D180" s="461"/>
      <c r="E180" s="461">
        <f>IF(D180="S",$C180,0)</f>
        <v>0</v>
      </c>
      <c r="F180" s="461"/>
      <c r="G180" s="461">
        <f>IF(F180="S",$C180,0)</f>
        <v>0</v>
      </c>
      <c r="H180" s="471" t="s">
        <v>108</v>
      </c>
      <c r="I180" s="471">
        <f t="shared" ref="I180:I183" si="54">IF(H180="S",$C180,0)</f>
        <v>1</v>
      </c>
      <c r="J180" s="471"/>
      <c r="K180" s="461">
        <f>IF(J180="S",$C180,0)</f>
        <v>0</v>
      </c>
      <c r="L180" s="461" t="s">
        <v>108</v>
      </c>
      <c r="M180" s="461">
        <f>IF(L180="S",$C180,0)</f>
        <v>1</v>
      </c>
      <c r="N180" s="461" t="s">
        <v>108</v>
      </c>
      <c r="O180" s="461">
        <f>IF(N180="S",$C180,0)</f>
        <v>1</v>
      </c>
      <c r="P180" s="461"/>
      <c r="Q180" s="461">
        <f>IF(P180="S",$C180,0)</f>
        <v>0</v>
      </c>
      <c r="R180" s="471" t="s">
        <v>108</v>
      </c>
      <c r="S180" s="461">
        <f>IF(R180="S",$C180,0)</f>
        <v>1</v>
      </c>
      <c r="T180" s="461" t="s">
        <v>108</v>
      </c>
      <c r="U180" s="461">
        <f>IF(T180="S",$C180,0)</f>
        <v>1</v>
      </c>
      <c r="V180" s="461"/>
      <c r="W180" s="461">
        <f>IF(V180="S",$C180,0)</f>
        <v>0</v>
      </c>
      <c r="X180" s="461"/>
      <c r="Y180" s="461">
        <f>IF(X180="S",$C180,0)</f>
        <v>0</v>
      </c>
      <c r="Z180" s="461"/>
      <c r="AA180" s="461">
        <f>IF(Z180="S",$C180,0)</f>
        <v>0</v>
      </c>
      <c r="AB180" s="114" t="s">
        <v>108</v>
      </c>
      <c r="AC180" s="461">
        <f>IF(AB180="S",$C180,0)</f>
        <v>1</v>
      </c>
      <c r="AD180" s="461" t="s">
        <v>108</v>
      </c>
      <c r="AE180" s="461">
        <f>IF(AD180="S",$C180,0)</f>
        <v>1</v>
      </c>
      <c r="AF180" s="114" t="s">
        <v>642</v>
      </c>
      <c r="AG180" s="461">
        <f>IF(AF180="S",$C180,0)</f>
        <v>0</v>
      </c>
      <c r="AH180" s="461"/>
      <c r="AI180" s="461">
        <f>IF(AH180="S",$C180,0)</f>
        <v>0</v>
      </c>
      <c r="AJ180" s="461" t="s">
        <v>108</v>
      </c>
      <c r="AK180" s="461">
        <f>IF(AJ180="S",$C180,0)</f>
        <v>1</v>
      </c>
      <c r="AL180" s="116"/>
      <c r="AM180" s="116">
        <f>IF(AL180="S",$C180,0)</f>
        <v>0</v>
      </c>
    </row>
    <row r="181" spans="1:39" x14ac:dyDescent="0.25">
      <c r="A181" s="452"/>
      <c r="B181" s="110" t="s">
        <v>70</v>
      </c>
      <c r="C181" s="461">
        <v>1</v>
      </c>
      <c r="D181" s="461"/>
      <c r="E181" s="461">
        <f>IF(D181="S",$C181,0)</f>
        <v>0</v>
      </c>
      <c r="F181" s="461"/>
      <c r="G181" s="461">
        <f>IF(F181="S",$C181,0)</f>
        <v>0</v>
      </c>
      <c r="H181" s="461"/>
      <c r="I181" s="471">
        <f t="shared" si="54"/>
        <v>0</v>
      </c>
      <c r="J181" s="461"/>
      <c r="K181" s="461">
        <f>IF(J181="S",$C181,0)</f>
        <v>0</v>
      </c>
      <c r="L181" s="461"/>
      <c r="M181" s="461">
        <f>IF(L181="S",$C181,0)</f>
        <v>0</v>
      </c>
      <c r="N181" s="461"/>
      <c r="O181" s="461">
        <f>IF(N181="S",$C181,0)</f>
        <v>0</v>
      </c>
      <c r="P181" s="461"/>
      <c r="Q181" s="461">
        <f>IF(P181="S",$C181,0)</f>
        <v>0</v>
      </c>
      <c r="R181" s="461"/>
      <c r="S181" s="461">
        <f>IF(R181="S",$C181,0)</f>
        <v>0</v>
      </c>
      <c r="T181" s="461"/>
      <c r="U181" s="461">
        <f>IF(T181="S",$C181,0)</f>
        <v>0</v>
      </c>
      <c r="V181" s="461"/>
      <c r="W181" s="461">
        <f>IF(V181="S",$C181,0)</f>
        <v>0</v>
      </c>
      <c r="X181" s="461"/>
      <c r="Y181" s="461">
        <f>IF(X181="S",$C181,0)</f>
        <v>0</v>
      </c>
      <c r="Z181" s="461"/>
      <c r="AA181" s="461">
        <f>IF(Z181="S",$C181,0)</f>
        <v>0</v>
      </c>
      <c r="AB181" s="461"/>
      <c r="AC181" s="461">
        <f>IF(AB181="S",$C181,0)</f>
        <v>0</v>
      </c>
      <c r="AD181" s="461"/>
      <c r="AE181" s="461">
        <f>IF(AD181="S",$C181,0)</f>
        <v>0</v>
      </c>
      <c r="AF181" s="461"/>
      <c r="AG181" s="461">
        <f>IF(AF181="S",$C181,0)</f>
        <v>0</v>
      </c>
      <c r="AH181" s="461"/>
      <c r="AI181" s="461">
        <f>IF(AH181="S",$C181,0)</f>
        <v>0</v>
      </c>
      <c r="AJ181" s="461"/>
      <c r="AK181" s="461">
        <f>IF(AJ181="S",$C181,0)</f>
        <v>0</v>
      </c>
      <c r="AL181" s="116"/>
      <c r="AM181" s="116">
        <f>IF(AL181="S",$C181,0)</f>
        <v>0</v>
      </c>
    </row>
    <row r="182" spans="1:39" x14ac:dyDescent="0.25">
      <c r="A182" s="452"/>
      <c r="B182" s="110" t="s">
        <v>71</v>
      </c>
      <c r="C182" s="461">
        <v>1</v>
      </c>
      <c r="D182" s="461"/>
      <c r="E182" s="461">
        <f>IF(D182="S",$C182,0)</f>
        <v>0</v>
      </c>
      <c r="F182" s="461"/>
      <c r="G182" s="461">
        <f>IF(F182="S",$C182,0)</f>
        <v>0</v>
      </c>
      <c r="H182" s="471" t="s">
        <v>108</v>
      </c>
      <c r="I182" s="471">
        <f t="shared" si="54"/>
        <v>1</v>
      </c>
      <c r="J182" s="471" t="s">
        <v>108</v>
      </c>
      <c r="K182" s="461">
        <f>IF(J182="S",$C182,0)</f>
        <v>1</v>
      </c>
      <c r="L182" s="461" t="s">
        <v>108</v>
      </c>
      <c r="M182" s="461">
        <f>IF(L182="S",$C182,0)</f>
        <v>1</v>
      </c>
      <c r="N182" s="461" t="s">
        <v>108</v>
      </c>
      <c r="O182" s="461">
        <f>IF(N182="S",$C182,0)</f>
        <v>1</v>
      </c>
      <c r="P182" s="461"/>
      <c r="Q182" s="461">
        <f>IF(P182="S",$C182,0)</f>
        <v>0</v>
      </c>
      <c r="R182" s="471" t="s">
        <v>108</v>
      </c>
      <c r="S182" s="461">
        <f>IF(R182="S",$C182,0)</f>
        <v>1</v>
      </c>
      <c r="T182" s="461" t="s">
        <v>108</v>
      </c>
      <c r="U182" s="461">
        <f>IF(T182="S",$C182,0)</f>
        <v>1</v>
      </c>
      <c r="V182" s="461"/>
      <c r="W182" s="461">
        <f>IF(V182="S",$C182,0)</f>
        <v>0</v>
      </c>
      <c r="X182" s="471" t="s">
        <v>108</v>
      </c>
      <c r="Y182" s="461">
        <f>IF(X182="S",$C182,0)</f>
        <v>1</v>
      </c>
      <c r="Z182" s="461"/>
      <c r="AA182" s="461">
        <f>IF(Z182="S",$C182,0)</f>
        <v>0</v>
      </c>
      <c r="AB182" s="114" t="s">
        <v>108</v>
      </c>
      <c r="AC182" s="461">
        <f>IF(AB182="S",$C182,0)</f>
        <v>1</v>
      </c>
      <c r="AD182" s="461" t="s">
        <v>108</v>
      </c>
      <c r="AE182" s="461">
        <f>IF(AD182="S",$C182,0)</f>
        <v>1</v>
      </c>
      <c r="AF182" s="471" t="s">
        <v>108</v>
      </c>
      <c r="AG182" s="461">
        <f>IF(AF182="S",$C182,0)</f>
        <v>1</v>
      </c>
      <c r="AH182" s="461"/>
      <c r="AI182" s="461">
        <f>IF(AH182="S",$C182,0)</f>
        <v>0</v>
      </c>
      <c r="AJ182" s="461"/>
      <c r="AK182" s="461">
        <f>IF(AJ182="S",$C182,0)</f>
        <v>0</v>
      </c>
      <c r="AL182" s="116"/>
      <c r="AM182" s="116">
        <f>IF(AL182="S",$C182,0)</f>
        <v>0</v>
      </c>
    </row>
    <row r="183" spans="1:39" x14ac:dyDescent="0.25">
      <c r="A183" s="453"/>
      <c r="B183" s="110" t="s">
        <v>72</v>
      </c>
      <c r="C183" s="461">
        <v>0</v>
      </c>
      <c r="D183" s="461"/>
      <c r="E183" s="461">
        <f>IF(D183="S",$C183,0)</f>
        <v>0</v>
      </c>
      <c r="F183" s="461"/>
      <c r="G183" s="461">
        <f>IF(F183="S",$C183,0)</f>
        <v>0</v>
      </c>
      <c r="H183" s="461"/>
      <c r="I183" s="471">
        <f t="shared" si="54"/>
        <v>0</v>
      </c>
      <c r="J183" s="461"/>
      <c r="K183" s="461">
        <f>IF(J183="S",$C183,0)</f>
        <v>0</v>
      </c>
      <c r="L183" s="461"/>
      <c r="M183" s="461">
        <f>IF(L183="S",$C183,0)</f>
        <v>0</v>
      </c>
      <c r="N183" s="461"/>
      <c r="O183" s="461">
        <f>IF(N183="S",$C183,0)</f>
        <v>0</v>
      </c>
      <c r="P183" s="461"/>
      <c r="Q183" s="461">
        <f>IF(P183="S",$C183,0)</f>
        <v>0</v>
      </c>
      <c r="R183" s="461"/>
      <c r="S183" s="461">
        <f>IF(R183="S",$C183,0)</f>
        <v>0</v>
      </c>
      <c r="T183" s="461"/>
      <c r="U183" s="461">
        <f>IF(T183="S",$C183,0)</f>
        <v>0</v>
      </c>
      <c r="V183" s="461"/>
      <c r="W183" s="461">
        <f>IF(V183="S",$C183,0)</f>
        <v>0</v>
      </c>
      <c r="X183" s="461"/>
      <c r="Y183" s="461">
        <f>IF(X183="S",$C183,0)</f>
        <v>0</v>
      </c>
      <c r="Z183" s="461"/>
      <c r="AA183" s="461">
        <f>IF(Z183="S",$C183,0)</f>
        <v>0</v>
      </c>
      <c r="AB183" s="461"/>
      <c r="AC183" s="461">
        <f>IF(AB183="S",$C183,0)</f>
        <v>0</v>
      </c>
      <c r="AD183" s="461"/>
      <c r="AE183" s="461">
        <f>IF(AD183="S",$C183,0)</f>
        <v>0</v>
      </c>
      <c r="AF183" s="461"/>
      <c r="AG183" s="461">
        <f>IF(AF183="S",$C183,0)</f>
        <v>0</v>
      </c>
      <c r="AH183" s="461"/>
      <c r="AI183" s="461">
        <f>IF(AH183="S",$C183,0)</f>
        <v>0</v>
      </c>
      <c r="AJ183" s="461"/>
      <c r="AK183" s="461">
        <f>IF(AJ183="S",$C183,0)</f>
        <v>0</v>
      </c>
      <c r="AL183" s="116"/>
      <c r="AM183" s="116">
        <f>IF(AL183="S",$C183,0)</f>
        <v>0</v>
      </c>
    </row>
    <row r="184" spans="1:39" x14ac:dyDescent="0.25">
      <c r="A184" s="442" t="s">
        <v>217</v>
      </c>
      <c r="B184" s="259" t="s">
        <v>218</v>
      </c>
      <c r="C184" s="462">
        <v>4</v>
      </c>
      <c r="D184" s="976"/>
      <c r="E184" s="976" t="str">
        <f>IF(D184&gt;100,$C184,IF(D184&gt;50,$C185,IF(D184&gt;0,$C186,IF(D184=0,"0"))))</f>
        <v>0</v>
      </c>
      <c r="F184" s="976"/>
      <c r="G184" s="976" t="str">
        <f>IF(F184&gt;100,$C184,IF(F184&gt;50,$C185,IF(F184&gt;0,$C186,IF(F184=0,"0"))))</f>
        <v>0</v>
      </c>
      <c r="H184" s="976">
        <v>120</v>
      </c>
      <c r="I184" s="976">
        <f>IF(H184&gt;100,$C184,IF(H184&gt;50,$C185,IF(H184&gt;0,$C186,IF(H184=0,"0"))))</f>
        <v>4</v>
      </c>
      <c r="J184" s="976"/>
      <c r="K184" s="976" t="str">
        <f>IF(J184&gt;100,$C184,IF(J184&gt;50,$C185,IF(J184&gt;0,$C186,IF(J184=0,"0"))))</f>
        <v>0</v>
      </c>
      <c r="L184" s="976">
        <v>25</v>
      </c>
      <c r="M184" s="976">
        <f>IF(L184&gt;100,$C184,IF(L184&gt;50,$C185,IF(L184&gt;0,$C186,IF(L184=0,"0"))))</f>
        <v>0</v>
      </c>
      <c r="N184" s="976"/>
      <c r="O184" s="976" t="str">
        <f>IF(N184&gt;100,$C184,IF(N184&gt;50,$C185,IF(N184&gt;0,$C186,IF(N184=0,"0"))))</f>
        <v>0</v>
      </c>
      <c r="P184" s="976"/>
      <c r="Q184" s="976" t="str">
        <f>IF(P184&gt;100,$C184,IF(P184&gt;50,$C185,IF(P184&gt;0,$C186,IF(P184=0,"0"))))</f>
        <v>0</v>
      </c>
      <c r="R184" s="976"/>
      <c r="S184" s="976" t="str">
        <f>IF(R184&gt;100,$C184,IF(R184&gt;50,$C185,IF(R184&gt;0,$C186,IF(R184=0,"0"))))</f>
        <v>0</v>
      </c>
      <c r="T184" s="976">
        <v>65</v>
      </c>
      <c r="U184" s="976">
        <f>IF(T184&gt;100,$C184,IF(T184&gt;50,$C185,IF(T184&gt;0,$C186,IF(T184=0,"0"))))</f>
        <v>2</v>
      </c>
      <c r="V184" s="976">
        <v>65</v>
      </c>
      <c r="W184" s="976">
        <f>IF(V184&gt;100,$C184,IF(V184&gt;50,$C185,IF(V184&gt;0,$C186,IF(V184=0,"0"))))</f>
        <v>2</v>
      </c>
      <c r="X184" s="976">
        <v>50</v>
      </c>
      <c r="Y184" s="976">
        <f>IF(X184&gt;100,$C184,IF(X184&gt;50,$C185,IF(X184&gt;0,$C186,IF(X184=0,"0"))))</f>
        <v>0</v>
      </c>
      <c r="Z184" s="976"/>
      <c r="AA184" s="976" t="str">
        <f>IF(Z184&gt;100,$C184,IF(Z184&gt;50,$C185,IF(Z184&gt;0,$C186,IF(Z184=0,"0"))))</f>
        <v>0</v>
      </c>
      <c r="AB184" s="976">
        <v>25</v>
      </c>
      <c r="AC184" s="976">
        <f>IF(AB184&gt;100,$C184,IF(AB184&gt;50,$C185,IF(AB184&gt;0,$C186,IF(AB184=0,"0"))))</f>
        <v>0</v>
      </c>
      <c r="AD184" s="976"/>
      <c r="AE184" s="976" t="str">
        <f>IF(AD184&gt;100,$C184,IF(AD184&gt;50,$C185,IF(AD184&gt;0,$C186,IF(AD184=0,"0"))))</f>
        <v>0</v>
      </c>
      <c r="AF184" s="976">
        <v>51</v>
      </c>
      <c r="AG184" s="976">
        <f>IF(AF184&gt;100,$C184,IF(AF184&gt;50,$C185,IF(AF184&gt;0,$C186,IF(AF184=0,"0"))))</f>
        <v>2</v>
      </c>
      <c r="AH184" s="976"/>
      <c r="AI184" s="976" t="str">
        <f>IF(AH184&gt;100,$C184,IF(AH184&gt;50,$C185,IF(AH184&gt;0,$C186,IF(AH184=0,"0"))))</f>
        <v>0</v>
      </c>
      <c r="AJ184" s="976">
        <v>60</v>
      </c>
      <c r="AK184" s="976">
        <f>IF(AJ184&gt;100,$C184,IF(AJ184&gt;50,$C185,IF(AJ184&gt;0,$C186,IF(AJ184=0,"0"))))</f>
        <v>2</v>
      </c>
      <c r="AL184" s="445"/>
      <c r="AM184" s="445"/>
    </row>
    <row r="185" spans="1:39" ht="13.8" x14ac:dyDescent="0.3">
      <c r="A185" s="454">
        <v>4</v>
      </c>
      <c r="B185" s="292" t="s">
        <v>673</v>
      </c>
      <c r="C185" s="462">
        <v>2</v>
      </c>
      <c r="D185" s="977"/>
      <c r="E185" s="977"/>
      <c r="F185" s="977"/>
      <c r="G185" s="977"/>
      <c r="H185" s="977"/>
      <c r="I185" s="977"/>
      <c r="J185" s="977"/>
      <c r="K185" s="977"/>
      <c r="L185" s="977"/>
      <c r="M185" s="977"/>
      <c r="N185" s="977"/>
      <c r="O185" s="977"/>
      <c r="P185" s="977"/>
      <c r="Q185" s="977"/>
      <c r="R185" s="977"/>
      <c r="S185" s="977"/>
      <c r="T185" s="977"/>
      <c r="U185" s="977"/>
      <c r="V185" s="977"/>
      <c r="W185" s="977"/>
      <c r="X185" s="977"/>
      <c r="Y185" s="977"/>
      <c r="Z185" s="977"/>
      <c r="AA185" s="977"/>
      <c r="AB185" s="977"/>
      <c r="AC185" s="977"/>
      <c r="AD185" s="977"/>
      <c r="AE185" s="977"/>
      <c r="AF185" s="977"/>
      <c r="AG185" s="977"/>
      <c r="AH185" s="977"/>
      <c r="AI185" s="977"/>
      <c r="AJ185" s="977"/>
      <c r="AK185" s="977"/>
      <c r="AL185" s="445"/>
      <c r="AM185" s="445"/>
    </row>
    <row r="186" spans="1:39" ht="13.8" x14ac:dyDescent="0.3">
      <c r="A186" s="455"/>
      <c r="B186" s="292" t="s">
        <v>674</v>
      </c>
      <c r="C186" s="462">
        <v>0</v>
      </c>
      <c r="D186" s="978"/>
      <c r="E186" s="978"/>
      <c r="F186" s="978"/>
      <c r="G186" s="978"/>
      <c r="H186" s="978"/>
      <c r="I186" s="978"/>
      <c r="J186" s="978"/>
      <c r="K186" s="978"/>
      <c r="L186" s="978"/>
      <c r="M186" s="978"/>
      <c r="N186" s="978"/>
      <c r="O186" s="978"/>
      <c r="P186" s="978"/>
      <c r="Q186" s="978"/>
      <c r="R186" s="978"/>
      <c r="S186" s="978"/>
      <c r="T186" s="978"/>
      <c r="U186" s="978"/>
      <c r="V186" s="978"/>
      <c r="W186" s="978"/>
      <c r="X186" s="978"/>
      <c r="Y186" s="978"/>
      <c r="Z186" s="978"/>
      <c r="AA186" s="978"/>
      <c r="AB186" s="978"/>
      <c r="AC186" s="978"/>
      <c r="AD186" s="978"/>
      <c r="AE186" s="978"/>
      <c r="AF186" s="978"/>
      <c r="AG186" s="978"/>
      <c r="AH186" s="978"/>
      <c r="AI186" s="978"/>
      <c r="AJ186" s="978"/>
      <c r="AK186" s="978"/>
      <c r="AL186" s="445"/>
      <c r="AM186" s="445"/>
    </row>
    <row r="187" spans="1:39" x14ac:dyDescent="0.25">
      <c r="A187" s="124" t="s">
        <v>655</v>
      </c>
      <c r="B187" s="307" t="s">
        <v>659</v>
      </c>
      <c r="C187" s="461">
        <f>A188</f>
        <v>3</v>
      </c>
      <c r="D187" s="459"/>
      <c r="E187" s="459"/>
      <c r="F187" s="459"/>
      <c r="G187" s="459"/>
      <c r="H187" s="979">
        <v>0</v>
      </c>
      <c r="I187" s="979" t="str">
        <f>IF(H187&gt;10,$C187,IF(H187&gt;5,$C188,IF(H187&gt;0,$C189,IF(H187=0,"0"))))</f>
        <v>0</v>
      </c>
      <c r="J187" s="979">
        <v>0</v>
      </c>
      <c r="K187" s="979" t="str">
        <f>IF(J187&gt;10,$C187,IF(J187&gt;5,$C188,IF(J187&gt;0,$C189,IF(J187=0,"0"))))</f>
        <v>0</v>
      </c>
      <c r="L187" s="979">
        <v>0</v>
      </c>
      <c r="M187" s="979" t="str">
        <f>IF(L187&gt;10,$C187,IF(L187&gt;5,$C188,IF(L187&gt;0,$C189,IF(L187=0,"0"))))</f>
        <v>0</v>
      </c>
      <c r="N187" s="979">
        <v>0</v>
      </c>
      <c r="O187" s="979" t="str">
        <f>IF(N187&gt;10,$C187,IF(N187&gt;5,$C188,IF(N187&gt;0,$C189,IF(N187=0,"0"))))</f>
        <v>0</v>
      </c>
      <c r="P187" s="459"/>
      <c r="Q187" s="459"/>
      <c r="R187" s="979">
        <v>0</v>
      </c>
      <c r="S187" s="979" t="str">
        <f>IF(R187&gt;10,$C187,IF(R187&gt;5,$C188,IF(R187&gt;0,$C189,IF(R187=0,"0"))))</f>
        <v>0</v>
      </c>
      <c r="T187" s="979">
        <v>0</v>
      </c>
      <c r="U187" s="979" t="str">
        <f>IF(T187&gt;10,$C187,IF(T187&gt;5,$C188,IF(T187&gt;0,$C189,IF(T187=0,"0"))))</f>
        <v>0</v>
      </c>
      <c r="V187" s="979">
        <v>0</v>
      </c>
      <c r="W187" s="979" t="str">
        <f>IF(V187&gt;10,$C187,IF(V187&gt;5,$C188,IF(V187&gt;0,$C189,IF(V187=0,"0"))))</f>
        <v>0</v>
      </c>
      <c r="X187" s="979">
        <v>0</v>
      </c>
      <c r="Y187" s="979" t="str">
        <f>IF(X187&gt;10,$C187,IF(X187&gt;5,$C188,IF(X187&gt;0,$C189,IF(X187=0,"0"))))</f>
        <v>0</v>
      </c>
      <c r="Z187" s="459"/>
      <c r="AA187" s="459"/>
      <c r="AB187" s="979">
        <v>0</v>
      </c>
      <c r="AC187" s="979" t="str">
        <f>IF(AB187&gt;10,$C187,IF(AB187&gt;5,$C188,IF(AB187&gt;0,$C189,IF(AB187=0,"0"))))</f>
        <v>0</v>
      </c>
      <c r="AD187" s="979">
        <v>10</v>
      </c>
      <c r="AE187" s="979">
        <f>IF(AD187&gt;10,$C187,IF(AD187&gt;5,$C188,IF(AD187&gt;0,$C189,IF(AD187=0,"0"))))</f>
        <v>2</v>
      </c>
      <c r="AF187" s="979">
        <v>0</v>
      </c>
      <c r="AG187" s="979" t="str">
        <f>IF(AF187&gt;10,$C187,IF(AF187&gt;5,$C188,IF(AF187&gt;0,$C189,IF(AF187=0,"0"))))</f>
        <v>0</v>
      </c>
      <c r="AH187" s="459"/>
      <c r="AI187" s="459"/>
      <c r="AJ187" s="979">
        <v>0</v>
      </c>
      <c r="AK187" s="979" t="str">
        <f>IF(AJ187&gt;10,$C187,IF(AJ187&gt;5,$C188,IF(AJ187&gt;0,$C189,IF(AJ187=0,"0"))))</f>
        <v>0</v>
      </c>
      <c r="AL187" s="445"/>
      <c r="AM187" s="445"/>
    </row>
    <row r="188" spans="1:39" x14ac:dyDescent="0.25">
      <c r="A188" s="452">
        <v>3</v>
      </c>
      <c r="B188" s="307" t="s">
        <v>658</v>
      </c>
      <c r="C188" s="461">
        <v>2</v>
      </c>
      <c r="D188" s="451"/>
      <c r="E188" s="451"/>
      <c r="F188" s="451"/>
      <c r="G188" s="451"/>
      <c r="H188" s="980"/>
      <c r="I188" s="980"/>
      <c r="J188" s="980"/>
      <c r="K188" s="980"/>
      <c r="L188" s="980"/>
      <c r="M188" s="980"/>
      <c r="N188" s="980"/>
      <c r="O188" s="980"/>
      <c r="P188" s="451"/>
      <c r="Q188" s="451"/>
      <c r="R188" s="980"/>
      <c r="S188" s="980"/>
      <c r="T188" s="980"/>
      <c r="U188" s="980"/>
      <c r="V188" s="980"/>
      <c r="W188" s="980"/>
      <c r="X188" s="980"/>
      <c r="Y188" s="980"/>
      <c r="Z188" s="451"/>
      <c r="AA188" s="451"/>
      <c r="AB188" s="980"/>
      <c r="AC188" s="980"/>
      <c r="AD188" s="980"/>
      <c r="AE188" s="980"/>
      <c r="AF188" s="980"/>
      <c r="AG188" s="980"/>
      <c r="AH188" s="451"/>
      <c r="AI188" s="451"/>
      <c r="AJ188" s="980"/>
      <c r="AK188" s="980"/>
      <c r="AL188" s="445"/>
      <c r="AM188" s="445"/>
    </row>
    <row r="189" spans="1:39" x14ac:dyDescent="0.25">
      <c r="A189" s="452"/>
      <c r="B189" s="307" t="s">
        <v>656</v>
      </c>
      <c r="C189" s="461">
        <v>1</v>
      </c>
      <c r="D189" s="451"/>
      <c r="E189" s="451"/>
      <c r="F189" s="451"/>
      <c r="G189" s="451"/>
      <c r="H189" s="980"/>
      <c r="I189" s="980"/>
      <c r="J189" s="980"/>
      <c r="K189" s="980"/>
      <c r="L189" s="980"/>
      <c r="M189" s="980"/>
      <c r="N189" s="980"/>
      <c r="O189" s="980"/>
      <c r="P189" s="451"/>
      <c r="Q189" s="451"/>
      <c r="R189" s="980"/>
      <c r="S189" s="980"/>
      <c r="T189" s="980"/>
      <c r="U189" s="980"/>
      <c r="V189" s="980"/>
      <c r="W189" s="980"/>
      <c r="X189" s="980"/>
      <c r="Y189" s="980"/>
      <c r="Z189" s="451"/>
      <c r="AA189" s="451"/>
      <c r="AB189" s="980"/>
      <c r="AC189" s="980"/>
      <c r="AD189" s="980"/>
      <c r="AE189" s="980"/>
      <c r="AF189" s="980"/>
      <c r="AG189" s="980"/>
      <c r="AH189" s="451"/>
      <c r="AI189" s="451"/>
      <c r="AJ189" s="980"/>
      <c r="AK189" s="980"/>
      <c r="AL189" s="445"/>
      <c r="AM189" s="445"/>
    </row>
    <row r="190" spans="1:39" x14ac:dyDescent="0.25">
      <c r="A190" s="453"/>
      <c r="B190" s="307" t="s">
        <v>657</v>
      </c>
      <c r="C190" s="461">
        <v>0</v>
      </c>
      <c r="D190" s="451"/>
      <c r="E190" s="451"/>
      <c r="F190" s="451"/>
      <c r="G190" s="451"/>
      <c r="H190" s="981"/>
      <c r="I190" s="981"/>
      <c r="J190" s="981"/>
      <c r="K190" s="981"/>
      <c r="L190" s="981"/>
      <c r="M190" s="981"/>
      <c r="N190" s="981"/>
      <c r="O190" s="981"/>
      <c r="P190" s="451"/>
      <c r="Q190" s="451"/>
      <c r="R190" s="981"/>
      <c r="S190" s="981"/>
      <c r="T190" s="981"/>
      <c r="U190" s="981"/>
      <c r="V190" s="981"/>
      <c r="W190" s="981"/>
      <c r="X190" s="981"/>
      <c r="Y190" s="981"/>
      <c r="Z190" s="451"/>
      <c r="AA190" s="451"/>
      <c r="AB190" s="981"/>
      <c r="AC190" s="981"/>
      <c r="AD190" s="981"/>
      <c r="AE190" s="981"/>
      <c r="AF190" s="981"/>
      <c r="AG190" s="981"/>
      <c r="AH190" s="451"/>
      <c r="AI190" s="451"/>
      <c r="AJ190" s="981"/>
      <c r="AK190" s="981"/>
      <c r="AL190" s="445"/>
      <c r="AM190" s="445"/>
    </row>
    <row r="191" spans="1:39" x14ac:dyDescent="0.25">
      <c r="A191" s="96">
        <f>A150+A153+A156+A159+A162+A165+A168+A171+A174+A176+A178+A180+A188+A185</f>
        <v>45</v>
      </c>
      <c r="B191" s="91"/>
      <c r="C191" s="92"/>
      <c r="D191" s="92"/>
      <c r="E191" s="125" t="e">
        <f>#REF!+#REF!+#REF!+#REF!+#REF!+#REF!+#REF!+#REF!+#REF!+#REF!+#REF!+#REF!+#REF!+#REF!</f>
        <v>#REF!</v>
      </c>
      <c r="F191" s="92"/>
      <c r="G191" s="125" t="e">
        <f>#REF!+#REF!+#REF!+#REF!+#REF!+#REF!+#REF!+#REF!+#REF!+#REF!+#REF!+#REF!+#REF!+#REF!</f>
        <v>#REF!</v>
      </c>
      <c r="H191" s="92"/>
      <c r="I191" s="125">
        <f>SUM(I149:I190)</f>
        <v>26</v>
      </c>
      <c r="J191" s="92"/>
      <c r="K191" s="125">
        <f>SUM(K149:K190)</f>
        <v>17</v>
      </c>
      <c r="L191" s="92"/>
      <c r="M191" s="125">
        <f>SUM(M149:M190)</f>
        <v>21</v>
      </c>
      <c r="N191" s="92"/>
      <c r="O191" s="125">
        <f>SUM(O149:O190)</f>
        <v>21</v>
      </c>
      <c r="P191" s="92"/>
      <c r="Q191" s="125" t="e">
        <f>#REF!+#REF!+#REF!+#REF!+#REF!+#REF!+#REF!+#REF!+#REF!+#REF!+#REF!+#REF!+#REF!+#REF!</f>
        <v>#REF!</v>
      </c>
      <c r="R191" s="92"/>
      <c r="S191" s="125">
        <f>SUM(S149:S190)</f>
        <v>26</v>
      </c>
      <c r="T191" s="92"/>
      <c r="U191" s="125">
        <f>SUM(U149:U190)</f>
        <v>32</v>
      </c>
      <c r="V191" s="92"/>
      <c r="W191" s="125">
        <f>SUM(W149:W190)</f>
        <v>30</v>
      </c>
      <c r="X191" s="92"/>
      <c r="Y191" s="125">
        <f>SUM(Y149:Y190)</f>
        <v>25</v>
      </c>
      <c r="Z191" s="92"/>
      <c r="AA191" s="125" t="e">
        <f>#REF!+#REF!+#REF!+#REF!+#REF!+#REF!+#REF!+#REF!+#REF!+#REF!+#REF!+#REF!+#REF!+#REF!</f>
        <v>#REF!</v>
      </c>
      <c r="AB191" s="92"/>
      <c r="AC191" s="125">
        <f>SUM(AC149:AC190)</f>
        <v>28</v>
      </c>
      <c r="AD191" s="92"/>
      <c r="AE191" s="125">
        <f>SUM(AE149:AE190)</f>
        <v>34</v>
      </c>
      <c r="AF191" s="92"/>
      <c r="AG191" s="125">
        <f>SUM(AG149:AG190)</f>
        <v>23</v>
      </c>
      <c r="AH191" s="92"/>
      <c r="AI191" s="125" t="e">
        <f>#REF!+#REF!+#REF!+#REF!+#REF!+#REF!+#REF!+#REF!+#REF!+#REF!+#REF!+#REF!+#REF!+#REF!</f>
        <v>#REF!</v>
      </c>
      <c r="AJ191" s="92"/>
      <c r="AK191" s="125">
        <f>SUM(AK149:AK190)</f>
        <v>18</v>
      </c>
      <c r="AL191" s="92"/>
      <c r="AM191" s="125" t="e">
        <f>#REF!+#REF!+#REF!+#REF!+#REF!+#REF!+#REF!+#REF!+#REF!+#REF!+#REF!+#REF!+#REF!+#REF!</f>
        <v>#REF!</v>
      </c>
    </row>
    <row r="193" spans="1:19" ht="14.4" hidden="1" x14ac:dyDescent="0.3">
      <c r="A193" s="1034"/>
      <c r="B193" s="1034"/>
      <c r="C193" s="1034"/>
      <c r="D193" s="1034"/>
      <c r="E193" s="1034"/>
    </row>
    <row r="194" spans="1:19" hidden="1" x14ac:dyDescent="0.25">
      <c r="C194"/>
      <c r="D194"/>
      <c r="E194"/>
    </row>
    <row r="195" spans="1:19" ht="14.4" hidden="1" x14ac:dyDescent="0.3">
      <c r="A195" s="118"/>
      <c r="B195" s="118" t="s">
        <v>209</v>
      </c>
      <c r="C195" s="917" t="s">
        <v>784</v>
      </c>
      <c r="E195" s="917"/>
      <c r="F195" s="917"/>
      <c r="G195" s="917"/>
      <c r="H195"/>
      <c r="J195" s="917"/>
      <c r="K195" s="917"/>
      <c r="M195" s="917" t="s">
        <v>210</v>
      </c>
      <c r="S195"/>
    </row>
    <row r="196" spans="1:19" ht="14.4" hidden="1" x14ac:dyDescent="0.3">
      <c r="A196" s="118"/>
      <c r="C196"/>
      <c r="E196"/>
      <c r="F196" s="96"/>
      <c r="G196"/>
      <c r="H196"/>
      <c r="I196"/>
      <c r="J196"/>
      <c r="K196"/>
      <c r="L196"/>
    </row>
    <row r="197" spans="1:19" ht="14.4" hidden="1" x14ac:dyDescent="0.3">
      <c r="A197" s="118"/>
      <c r="C197"/>
      <c r="E197"/>
      <c r="F197" s="96"/>
      <c r="G197"/>
      <c r="H197"/>
      <c r="I197"/>
      <c r="J197"/>
      <c r="K197"/>
      <c r="L197"/>
    </row>
    <row r="198" spans="1:19" hidden="1" x14ac:dyDescent="0.25">
      <c r="C198"/>
      <c r="E198"/>
      <c r="F198" s="96"/>
      <c r="G198"/>
      <c r="H198"/>
      <c r="I198"/>
      <c r="J198"/>
      <c r="K198"/>
      <c r="L198"/>
    </row>
    <row r="199" spans="1:19" ht="14.4" hidden="1" x14ac:dyDescent="0.3">
      <c r="B199" s="118" t="s">
        <v>785</v>
      </c>
      <c r="C199" s="917" t="s">
        <v>786</v>
      </c>
      <c r="D199" s="917"/>
      <c r="E199" s="917"/>
      <c r="F199" s="917"/>
      <c r="G199" s="917"/>
      <c r="H199"/>
      <c r="J199" s="917"/>
      <c r="K199"/>
      <c r="L199"/>
      <c r="M199" s="917" t="s">
        <v>787</v>
      </c>
    </row>
    <row r="200" spans="1:19" hidden="1" x14ac:dyDescent="0.25"/>
  </sheetData>
  <mergeCells count="1411">
    <mergeCell ref="W184:W186"/>
    <mergeCell ref="X184:X186"/>
    <mergeCell ref="Y184:Y186"/>
    <mergeCell ref="Z184:Z186"/>
    <mergeCell ref="AA184:AA186"/>
    <mergeCell ref="AB184:AB186"/>
    <mergeCell ref="AC184:AC186"/>
    <mergeCell ref="AD184:AD186"/>
    <mergeCell ref="AE184:AE186"/>
    <mergeCell ref="AF184:AF186"/>
    <mergeCell ref="AG184:AG186"/>
    <mergeCell ref="AH184:AH186"/>
    <mergeCell ref="AI184:AI186"/>
    <mergeCell ref="AJ184:AJ186"/>
    <mergeCell ref="AK184:AK186"/>
    <mergeCell ref="AB170:AB172"/>
    <mergeCell ref="Y138:Y140"/>
    <mergeCell ref="Z138:Z140"/>
    <mergeCell ref="AA138:AA140"/>
    <mergeCell ref="AB138:AB140"/>
    <mergeCell ref="AC138:AC140"/>
    <mergeCell ref="AD138:AD140"/>
    <mergeCell ref="AE138:AE140"/>
    <mergeCell ref="AF138:AF140"/>
    <mergeCell ref="AG138:AG140"/>
    <mergeCell ref="AH138:AH140"/>
    <mergeCell ref="AI138:AI140"/>
    <mergeCell ref="AJ138:AJ140"/>
    <mergeCell ref="AK138:AK140"/>
    <mergeCell ref="AC152:AC154"/>
    <mergeCell ref="AE152:AE154"/>
    <mergeCell ref="AB152:AB154"/>
    <mergeCell ref="D184:D186"/>
    <mergeCell ref="E184:E186"/>
    <mergeCell ref="F184:F186"/>
    <mergeCell ref="G184:G186"/>
    <mergeCell ref="H184:H186"/>
    <mergeCell ref="I184:I186"/>
    <mergeCell ref="J184:J186"/>
    <mergeCell ref="K184:K186"/>
    <mergeCell ref="L184:L186"/>
    <mergeCell ref="M184:M186"/>
    <mergeCell ref="N184:N186"/>
    <mergeCell ref="O184:O186"/>
    <mergeCell ref="P184:P186"/>
    <mergeCell ref="Q184:Q186"/>
    <mergeCell ref="R184:R186"/>
    <mergeCell ref="S184:S186"/>
    <mergeCell ref="T184:T186"/>
    <mergeCell ref="U184:U186"/>
    <mergeCell ref="V184:V186"/>
    <mergeCell ref="AC187:AC190"/>
    <mergeCell ref="AD187:AD190"/>
    <mergeCell ref="AE187:AE190"/>
    <mergeCell ref="AF187:AF190"/>
    <mergeCell ref="AG187:AG190"/>
    <mergeCell ref="AJ187:AJ190"/>
    <mergeCell ref="AK187:AK190"/>
    <mergeCell ref="K3:K5"/>
    <mergeCell ref="M3:M5"/>
    <mergeCell ref="O3:O5"/>
    <mergeCell ref="S3:S5"/>
    <mergeCell ref="U3:U5"/>
    <mergeCell ref="W3:W5"/>
    <mergeCell ref="Y3:Y5"/>
    <mergeCell ref="AC3:AC5"/>
    <mergeCell ref="AE3:AE5"/>
    <mergeCell ref="AG3:AG5"/>
    <mergeCell ref="AK3:AK5"/>
    <mergeCell ref="K138:K140"/>
    <mergeCell ref="L138:L140"/>
    <mergeCell ref="M138:M140"/>
    <mergeCell ref="N138:N140"/>
    <mergeCell ref="O138:O140"/>
    <mergeCell ref="P138:P140"/>
    <mergeCell ref="Q138:Q140"/>
    <mergeCell ref="R138:R140"/>
    <mergeCell ref="S138:S140"/>
    <mergeCell ref="T138:T140"/>
    <mergeCell ref="U138:U140"/>
    <mergeCell ref="V138:V14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R187:R190"/>
    <mergeCell ref="S187:S190"/>
    <mergeCell ref="T187:T190"/>
    <mergeCell ref="U187:U190"/>
    <mergeCell ref="V187:V190"/>
    <mergeCell ref="W187:W190"/>
    <mergeCell ref="X187:X190"/>
    <mergeCell ref="Y187:Y190"/>
    <mergeCell ref="AB187:AB190"/>
    <mergeCell ref="AG61:AG64"/>
    <mergeCell ref="AJ61:AJ64"/>
    <mergeCell ref="AK61:AK64"/>
    <mergeCell ref="H141:H144"/>
    <mergeCell ref="I141:I144"/>
    <mergeCell ref="J141:J144"/>
    <mergeCell ref="K141:K144"/>
    <mergeCell ref="L141:L144"/>
    <mergeCell ref="M141:M144"/>
    <mergeCell ref="N141:N144"/>
    <mergeCell ref="O141:O144"/>
    <mergeCell ref="R141:R144"/>
    <mergeCell ref="S141:S144"/>
    <mergeCell ref="T141:T144"/>
    <mergeCell ref="U141:U144"/>
    <mergeCell ref="V141:V144"/>
    <mergeCell ref="W141:W144"/>
    <mergeCell ref="X141:X144"/>
    <mergeCell ref="Y141:Y144"/>
    <mergeCell ref="AB141:AB144"/>
    <mergeCell ref="AC141:AC144"/>
    <mergeCell ref="AD141:AD144"/>
    <mergeCell ref="AE141:AE144"/>
    <mergeCell ref="AF141:AF144"/>
    <mergeCell ref="AG141:AG144"/>
    <mergeCell ref="AJ141:AJ144"/>
    <mergeCell ref="AK141:AK144"/>
    <mergeCell ref="H138:H140"/>
    <mergeCell ref="I138:I140"/>
    <mergeCell ref="J138:J140"/>
    <mergeCell ref="W138:W140"/>
    <mergeCell ref="X138:X140"/>
    <mergeCell ref="W98:W101"/>
    <mergeCell ref="X98:X101"/>
    <mergeCell ref="Y98:Y101"/>
    <mergeCell ref="AB98:AB101"/>
    <mergeCell ref="AC98:AC101"/>
    <mergeCell ref="AD98:AD101"/>
    <mergeCell ref="AE98:AE101"/>
    <mergeCell ref="AF98:AF101"/>
    <mergeCell ref="AG98:AG101"/>
    <mergeCell ref="AJ98:AJ101"/>
    <mergeCell ref="AK98:AK101"/>
    <mergeCell ref="H61:H64"/>
    <mergeCell ref="I61:I64"/>
    <mergeCell ref="J61:J64"/>
    <mergeCell ref="K61:K64"/>
    <mergeCell ref="L61:L64"/>
    <mergeCell ref="M61:M64"/>
    <mergeCell ref="N61:N64"/>
    <mergeCell ref="O61:O64"/>
    <mergeCell ref="R61:R64"/>
    <mergeCell ref="S61:S64"/>
    <mergeCell ref="T61:T64"/>
    <mergeCell ref="U61:U64"/>
    <mergeCell ref="V61:V64"/>
    <mergeCell ref="W61:W64"/>
    <mergeCell ref="X61:X64"/>
    <mergeCell ref="Y61:Y64"/>
    <mergeCell ref="AB61:AB64"/>
    <mergeCell ref="AC61:AC64"/>
    <mergeCell ref="AD61:AD64"/>
    <mergeCell ref="AE61:AE64"/>
    <mergeCell ref="AF61:AF64"/>
    <mergeCell ref="AI92:AI94"/>
    <mergeCell ref="AJ92:AJ94"/>
    <mergeCell ref="AK92:AK94"/>
    <mergeCell ref="H98:H101"/>
    <mergeCell ref="I98:I101"/>
    <mergeCell ref="J98:J101"/>
    <mergeCell ref="K98:K101"/>
    <mergeCell ref="L98:L101"/>
    <mergeCell ref="M98:M101"/>
    <mergeCell ref="N98:N101"/>
    <mergeCell ref="O98:O101"/>
    <mergeCell ref="R98:R101"/>
    <mergeCell ref="S98:S101"/>
    <mergeCell ref="T98:T101"/>
    <mergeCell ref="U98:U101"/>
    <mergeCell ref="V98:V101"/>
    <mergeCell ref="R92:R94"/>
    <mergeCell ref="S92:S94"/>
    <mergeCell ref="T92:T94"/>
    <mergeCell ref="U92:U94"/>
    <mergeCell ref="V92:V94"/>
    <mergeCell ref="W92:W94"/>
    <mergeCell ref="X92:X94"/>
    <mergeCell ref="Y92:Y94"/>
    <mergeCell ref="Z92:Z94"/>
    <mergeCell ref="AA92:AA94"/>
    <mergeCell ref="AB92:AB94"/>
    <mergeCell ref="AC92:AC94"/>
    <mergeCell ref="AD92:AD94"/>
    <mergeCell ref="AE92:AE94"/>
    <mergeCell ref="AF92:AF94"/>
    <mergeCell ref="AG92:AG94"/>
    <mergeCell ref="AH92:AH94"/>
    <mergeCell ref="I3:I5"/>
    <mergeCell ref="Y95:Y97"/>
    <mergeCell ref="Z95:Z97"/>
    <mergeCell ref="AA95:AA97"/>
    <mergeCell ref="U132:U133"/>
    <mergeCell ref="V132:V133"/>
    <mergeCell ref="Y126:Y128"/>
    <mergeCell ref="T177:T178"/>
    <mergeCell ref="U177:U178"/>
    <mergeCell ref="V177:V178"/>
    <mergeCell ref="W177:W178"/>
    <mergeCell ref="X177:X178"/>
    <mergeCell ref="Y177:Y178"/>
    <mergeCell ref="Z177:Z178"/>
    <mergeCell ref="AA177:AA178"/>
    <mergeCell ref="T175:T176"/>
    <mergeCell ref="U175:U176"/>
    <mergeCell ref="V175:V176"/>
    <mergeCell ref="W175:W176"/>
    <mergeCell ref="X175:X176"/>
    <mergeCell ref="Y175:Y176"/>
    <mergeCell ref="Z175:Z176"/>
    <mergeCell ref="AA175:AA176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T170:T172"/>
    <mergeCell ref="U170:U172"/>
    <mergeCell ref="V170:V172"/>
    <mergeCell ref="W170:W172"/>
    <mergeCell ref="X170:X172"/>
    <mergeCell ref="Y170:Y172"/>
    <mergeCell ref="Z170:Z172"/>
    <mergeCell ref="AA170:AA172"/>
    <mergeCell ref="T167:T169"/>
    <mergeCell ref="U167:U169"/>
    <mergeCell ref="V167:V169"/>
    <mergeCell ref="W167:W169"/>
    <mergeCell ref="X167:X169"/>
    <mergeCell ref="Y167:Y169"/>
    <mergeCell ref="Z167:Z169"/>
    <mergeCell ref="AA167:AA169"/>
    <mergeCell ref="T161:T163"/>
    <mergeCell ref="U161:U163"/>
    <mergeCell ref="V161:V163"/>
    <mergeCell ref="W161:W163"/>
    <mergeCell ref="X161:X163"/>
    <mergeCell ref="Y161:Y163"/>
    <mergeCell ref="Z161:Z163"/>
    <mergeCell ref="AA161:AA163"/>
    <mergeCell ref="T158:T160"/>
    <mergeCell ref="U158:U160"/>
    <mergeCell ref="V158:V160"/>
    <mergeCell ref="W158:W160"/>
    <mergeCell ref="X158:X160"/>
    <mergeCell ref="Y158:Y160"/>
    <mergeCell ref="Z158:Z160"/>
    <mergeCell ref="AA158:AA160"/>
    <mergeCell ref="AL95:AL97"/>
    <mergeCell ref="AM95:AM97"/>
    <mergeCell ref="T152:T154"/>
    <mergeCell ref="U152:U154"/>
    <mergeCell ref="V152:V154"/>
    <mergeCell ref="W152:W154"/>
    <mergeCell ref="X152:X154"/>
    <mergeCell ref="Y152:Y154"/>
    <mergeCell ref="Z152:Z154"/>
    <mergeCell ref="AA152:AA154"/>
    <mergeCell ref="AC95:AC97"/>
    <mergeCell ref="AD95:AD97"/>
    <mergeCell ref="AE95:AE97"/>
    <mergeCell ref="AF95:AF97"/>
    <mergeCell ref="AG95:AG97"/>
    <mergeCell ref="AH95:AH97"/>
    <mergeCell ref="AI95:AI97"/>
    <mergeCell ref="AJ95:AJ97"/>
    <mergeCell ref="AK95:AK97"/>
    <mergeCell ref="T95:T97"/>
    <mergeCell ref="U95:U97"/>
    <mergeCell ref="V95:V97"/>
    <mergeCell ref="W95:W97"/>
    <mergeCell ref="X95:X97"/>
    <mergeCell ref="AM90:AM91"/>
    <mergeCell ref="AL72:AL74"/>
    <mergeCell ref="AM72:AM74"/>
    <mergeCell ref="AJ78:AJ80"/>
    <mergeCell ref="AK78:AK80"/>
    <mergeCell ref="AL78:AL80"/>
    <mergeCell ref="AM78:AM80"/>
    <mergeCell ref="AJ81:AJ83"/>
    <mergeCell ref="AK81:AK83"/>
    <mergeCell ref="AL81:AL83"/>
    <mergeCell ref="AM81:AM83"/>
    <mergeCell ref="AJ72:AJ74"/>
    <mergeCell ref="AK72:AK74"/>
    <mergeCell ref="AJ86:AJ87"/>
    <mergeCell ref="AK86:AK87"/>
    <mergeCell ref="V72:V74"/>
    <mergeCell ref="W72:W74"/>
    <mergeCell ref="V81:V83"/>
    <mergeCell ref="W81:W83"/>
    <mergeCell ref="X81:X83"/>
    <mergeCell ref="AG88:AG89"/>
    <mergeCell ref="AH88:AH89"/>
    <mergeCell ref="AI88:AI89"/>
    <mergeCell ref="AC72:AC74"/>
    <mergeCell ref="AD72:AD74"/>
    <mergeCell ref="AE72:AE74"/>
    <mergeCell ref="AF72:AF74"/>
    <mergeCell ref="AG72:AG74"/>
    <mergeCell ref="AH72:AH74"/>
    <mergeCell ref="AI72:AI74"/>
    <mergeCell ref="T90:T91"/>
    <mergeCell ref="U90:U91"/>
    <mergeCell ref="V90:V91"/>
    <mergeCell ref="W90:W91"/>
    <mergeCell ref="X90:X91"/>
    <mergeCell ref="Y90:Y91"/>
    <mergeCell ref="Z90:Z91"/>
    <mergeCell ref="AA90:AA91"/>
    <mergeCell ref="AB90:AB91"/>
    <mergeCell ref="AC90:AC91"/>
    <mergeCell ref="AD90:AD91"/>
    <mergeCell ref="AE90:AE91"/>
    <mergeCell ref="AF90:AF91"/>
    <mergeCell ref="AG90:AG91"/>
    <mergeCell ref="AH90:AH91"/>
    <mergeCell ref="AI90:AI91"/>
    <mergeCell ref="T88:T89"/>
    <mergeCell ref="U88:U89"/>
    <mergeCell ref="V88:V89"/>
    <mergeCell ref="W88:W89"/>
    <mergeCell ref="X88:X89"/>
    <mergeCell ref="Y88:Y89"/>
    <mergeCell ref="T86:T8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AD86:AD87"/>
    <mergeCell ref="AE86:AE87"/>
    <mergeCell ref="AF86:AF87"/>
    <mergeCell ref="AG86:AG87"/>
    <mergeCell ref="AH86:AH87"/>
    <mergeCell ref="AI86:AI87"/>
    <mergeCell ref="Y81:Y83"/>
    <mergeCell ref="Z81:Z83"/>
    <mergeCell ref="AA81:AA83"/>
    <mergeCell ref="AB81:AB83"/>
    <mergeCell ref="T81:T83"/>
    <mergeCell ref="U81:U83"/>
    <mergeCell ref="T78:T80"/>
    <mergeCell ref="U78:U80"/>
    <mergeCell ref="V78:V80"/>
    <mergeCell ref="W78:W80"/>
    <mergeCell ref="X78:X80"/>
    <mergeCell ref="Y78:Y80"/>
    <mergeCell ref="Z78:Z80"/>
    <mergeCell ref="AA78:AA80"/>
    <mergeCell ref="AB78:AB80"/>
    <mergeCell ref="AC78:AC80"/>
    <mergeCell ref="AD78:AD80"/>
    <mergeCell ref="AE78:AE80"/>
    <mergeCell ref="AF78:AF80"/>
    <mergeCell ref="AG78:AG80"/>
    <mergeCell ref="AH78:AH80"/>
    <mergeCell ref="AI78:AI80"/>
    <mergeCell ref="T72:T74"/>
    <mergeCell ref="U72:U74"/>
    <mergeCell ref="X72:X74"/>
    <mergeCell ref="AM134:AM135"/>
    <mergeCell ref="AH136:AH137"/>
    <mergeCell ref="AI136:AI137"/>
    <mergeCell ref="AJ136:AJ137"/>
    <mergeCell ref="AK136:AK137"/>
    <mergeCell ref="AL136:AL137"/>
    <mergeCell ref="AM136:AM137"/>
    <mergeCell ref="AL126:AL128"/>
    <mergeCell ref="AM126:AM128"/>
    <mergeCell ref="AH129:AH131"/>
    <mergeCell ref="AI129:AI131"/>
    <mergeCell ref="AJ129:AJ131"/>
    <mergeCell ref="AK129:AK131"/>
    <mergeCell ref="AL129:AL131"/>
    <mergeCell ref="AM129:AM131"/>
    <mergeCell ref="AH132:AH133"/>
    <mergeCell ref="AI132:AI133"/>
    <mergeCell ref="AJ132:AJ133"/>
    <mergeCell ref="AK132:AK133"/>
    <mergeCell ref="AL132:AL133"/>
    <mergeCell ref="AM132:AM133"/>
    <mergeCell ref="AH126:AH128"/>
    <mergeCell ref="AI126:AI128"/>
    <mergeCell ref="AJ126:AJ128"/>
    <mergeCell ref="AK126:AK128"/>
    <mergeCell ref="Z126:Z128"/>
    <mergeCell ref="AA126:AA128"/>
    <mergeCell ref="AC126:AC128"/>
    <mergeCell ref="AH134:AH135"/>
    <mergeCell ref="AI134:AI135"/>
    <mergeCell ref="AJ134:AJ135"/>
    <mergeCell ref="Y72:Y74"/>
    <mergeCell ref="Z72:Z74"/>
    <mergeCell ref="AA72:AA74"/>
    <mergeCell ref="AB72:AB74"/>
    <mergeCell ref="AK134:AK135"/>
    <mergeCell ref="AL134:AL135"/>
    <mergeCell ref="Z88:Z89"/>
    <mergeCell ref="AA88:AA89"/>
    <mergeCell ref="AB88:AB89"/>
    <mergeCell ref="AC81:AC83"/>
    <mergeCell ref="AD81:AD83"/>
    <mergeCell ref="AE81:AE83"/>
    <mergeCell ref="AF81:AF83"/>
    <mergeCell ref="AG81:AG83"/>
    <mergeCell ref="AH81:AH83"/>
    <mergeCell ref="AI81:AI83"/>
    <mergeCell ref="AB95:AB97"/>
    <mergeCell ref="AC88:AC89"/>
    <mergeCell ref="AD88:AD89"/>
    <mergeCell ref="AE88:AE89"/>
    <mergeCell ref="AF88:AF89"/>
    <mergeCell ref="AD126:AD128"/>
    <mergeCell ref="AE126:AE128"/>
    <mergeCell ref="AF126:AF128"/>
    <mergeCell ref="AG126:AG128"/>
    <mergeCell ref="AG134:AG135"/>
    <mergeCell ref="AG132:AG133"/>
    <mergeCell ref="T134:T135"/>
    <mergeCell ref="U134:U135"/>
    <mergeCell ref="V134:V135"/>
    <mergeCell ref="W134:W135"/>
    <mergeCell ref="X134:X135"/>
    <mergeCell ref="Y134:Y135"/>
    <mergeCell ref="Z134:Z135"/>
    <mergeCell ref="AA134:AA135"/>
    <mergeCell ref="AB134:AB135"/>
    <mergeCell ref="W132:W133"/>
    <mergeCell ref="AC136:AC137"/>
    <mergeCell ref="AD136:AD137"/>
    <mergeCell ref="AE136:AE137"/>
    <mergeCell ref="AF136:AF137"/>
    <mergeCell ref="AC134:AC135"/>
    <mergeCell ref="AD134:AD135"/>
    <mergeCell ref="AE134:AE135"/>
    <mergeCell ref="AF134:AF135"/>
    <mergeCell ref="AG136:AG137"/>
    <mergeCell ref="T129:T131"/>
    <mergeCell ref="U129:U131"/>
    <mergeCell ref="V129:V131"/>
    <mergeCell ref="W129:W131"/>
    <mergeCell ref="X129:X131"/>
    <mergeCell ref="Y129:Y131"/>
    <mergeCell ref="Z129:Z131"/>
    <mergeCell ref="AA129:AA131"/>
    <mergeCell ref="AB129:AB131"/>
    <mergeCell ref="AC129:AC131"/>
    <mergeCell ref="AD129:AD131"/>
    <mergeCell ref="AE129:AE131"/>
    <mergeCell ref="AF129:AF131"/>
    <mergeCell ref="T136:T137"/>
    <mergeCell ref="U136:U137"/>
    <mergeCell ref="V136:V137"/>
    <mergeCell ref="W136:W137"/>
    <mergeCell ref="X136:X137"/>
    <mergeCell ref="Y136:Y137"/>
    <mergeCell ref="Z136:Z137"/>
    <mergeCell ref="AA136:AA137"/>
    <mergeCell ref="AB136:AB137"/>
    <mergeCell ref="AC132:AC133"/>
    <mergeCell ref="AD132:AD133"/>
    <mergeCell ref="AE132:AE133"/>
    <mergeCell ref="AF132:AF133"/>
    <mergeCell ref="AG129:AG131"/>
    <mergeCell ref="AA132:AA133"/>
    <mergeCell ref="AB132:AB133"/>
    <mergeCell ref="T126:T128"/>
    <mergeCell ref="U126:U128"/>
    <mergeCell ref="V126:V128"/>
    <mergeCell ref="W126:W128"/>
    <mergeCell ref="X126:X128"/>
    <mergeCell ref="AJ30:AJ31"/>
    <mergeCell ref="AK30:AK31"/>
    <mergeCell ref="AL30:AL31"/>
    <mergeCell ref="AB126:AB128"/>
    <mergeCell ref="V117:V119"/>
    <mergeCell ref="W117:W119"/>
    <mergeCell ref="X117:X119"/>
    <mergeCell ref="Y117:Y119"/>
    <mergeCell ref="Z117:Z119"/>
    <mergeCell ref="AA117:AA119"/>
    <mergeCell ref="AB117:AB119"/>
    <mergeCell ref="T117:T119"/>
    <mergeCell ref="U117:U119"/>
    <mergeCell ref="T30:T31"/>
    <mergeCell ref="U30:U31"/>
    <mergeCell ref="V30:V31"/>
    <mergeCell ref="W30:W31"/>
    <mergeCell ref="X30:X31"/>
    <mergeCell ref="Y30:Y31"/>
    <mergeCell ref="Z30:Z31"/>
    <mergeCell ref="T132:T133"/>
    <mergeCell ref="X132:X133"/>
    <mergeCell ref="Y132:Y133"/>
    <mergeCell ref="Z132:Z133"/>
    <mergeCell ref="AD117:AD119"/>
    <mergeCell ref="AE117:AE119"/>
    <mergeCell ref="AF117:AF119"/>
    <mergeCell ref="AG117:AG119"/>
    <mergeCell ref="AC120:AC122"/>
    <mergeCell ref="AD120:AD122"/>
    <mergeCell ref="AE120:AE122"/>
    <mergeCell ref="AF120:AF122"/>
    <mergeCell ref="AG120:AG122"/>
    <mergeCell ref="AH111:AH113"/>
    <mergeCell ref="AI111:AI113"/>
    <mergeCell ref="AJ111:AJ113"/>
    <mergeCell ref="AK111:AK113"/>
    <mergeCell ref="AH117:AH119"/>
    <mergeCell ref="AI117:AI119"/>
    <mergeCell ref="AJ117:AJ119"/>
    <mergeCell ref="AK117:AK119"/>
    <mergeCell ref="AH120:AH122"/>
    <mergeCell ref="AI120:AI122"/>
    <mergeCell ref="AJ120:AJ122"/>
    <mergeCell ref="AK120:AK122"/>
    <mergeCell ref="AK23:AK25"/>
    <mergeCell ref="AL23:AL25"/>
    <mergeCell ref="AM23:AM25"/>
    <mergeCell ref="AG28:AG29"/>
    <mergeCell ref="AE20:AE22"/>
    <mergeCell ref="AF20:AF22"/>
    <mergeCell ref="AG20:AG22"/>
    <mergeCell ref="AE30:AE31"/>
    <mergeCell ref="AH20:AH22"/>
    <mergeCell ref="AI20:AI22"/>
    <mergeCell ref="AJ20:AJ22"/>
    <mergeCell ref="AH106:AI106"/>
    <mergeCell ref="AJ106:AK106"/>
    <mergeCell ref="AM111:AM113"/>
    <mergeCell ref="AL117:AL119"/>
    <mergeCell ref="AM117:AM119"/>
    <mergeCell ref="AL120:AL122"/>
    <mergeCell ref="AM120:AM122"/>
    <mergeCell ref="AL106:AM106"/>
    <mergeCell ref="AM58:AM60"/>
    <mergeCell ref="AF30:AF31"/>
    <mergeCell ref="AG30:AG31"/>
    <mergeCell ref="AL111:AL113"/>
    <mergeCell ref="AL86:AL87"/>
    <mergeCell ref="AM86:AM87"/>
    <mergeCell ref="AJ88:AJ89"/>
    <mergeCell ref="AK88:AK89"/>
    <mergeCell ref="AL88:AL89"/>
    <mergeCell ref="AM88:AM89"/>
    <mergeCell ref="AJ90:AJ91"/>
    <mergeCell ref="AK90:AK91"/>
    <mergeCell ref="AL90:AL91"/>
    <mergeCell ref="AH18:AH19"/>
    <mergeCell ref="AI18:AI19"/>
    <mergeCell ref="AJ18:AJ19"/>
    <mergeCell ref="AK18:AK19"/>
    <mergeCell ref="X20:X22"/>
    <mergeCell ref="Y20:Y22"/>
    <mergeCell ref="AE28:AE29"/>
    <mergeCell ref="AF28:AF29"/>
    <mergeCell ref="AL18:AL19"/>
    <mergeCell ref="AM18:AM19"/>
    <mergeCell ref="AH28:AH29"/>
    <mergeCell ref="Y111:Y113"/>
    <mergeCell ref="Z111:Z113"/>
    <mergeCell ref="AA111:AA113"/>
    <mergeCell ref="AB111:AB113"/>
    <mergeCell ref="AC111:AC113"/>
    <mergeCell ref="AD111:AD113"/>
    <mergeCell ref="AE111:AE113"/>
    <mergeCell ref="AF111:AF113"/>
    <mergeCell ref="AG111:AG113"/>
    <mergeCell ref="AI28:AI29"/>
    <mergeCell ref="AJ28:AJ29"/>
    <mergeCell ref="AK28:AK29"/>
    <mergeCell ref="AL28:AL29"/>
    <mergeCell ref="AM28:AM29"/>
    <mergeCell ref="AH30:AH31"/>
    <mergeCell ref="AI30:AI31"/>
    <mergeCell ref="AL20:AL22"/>
    <mergeCell ref="AM20:AM22"/>
    <mergeCell ref="AH23:AH25"/>
    <mergeCell ref="AI23:AI25"/>
    <mergeCell ref="AJ23:AJ25"/>
    <mergeCell ref="AM30:AM31"/>
    <mergeCell ref="V58:V60"/>
    <mergeCell ref="W58:W60"/>
    <mergeCell ref="X58:X60"/>
    <mergeCell ref="Y58:Y60"/>
    <mergeCell ref="Z58:Z60"/>
    <mergeCell ref="AA58:AA60"/>
    <mergeCell ref="AB58:AB60"/>
    <mergeCell ref="AC58:AC60"/>
    <mergeCell ref="AD58:AD60"/>
    <mergeCell ref="AE58:AE60"/>
    <mergeCell ref="AF58:AF60"/>
    <mergeCell ref="AG58:AG60"/>
    <mergeCell ref="AH58:AH60"/>
    <mergeCell ref="AI58:AI60"/>
    <mergeCell ref="AJ58:AJ60"/>
    <mergeCell ref="AK58:AK60"/>
    <mergeCell ref="AL58:AL60"/>
    <mergeCell ref="AK20:AK22"/>
    <mergeCell ref="AA18:AA19"/>
    <mergeCell ref="AB18:AB19"/>
    <mergeCell ref="AC18:AC19"/>
    <mergeCell ref="AD18:AD19"/>
    <mergeCell ref="AE18:AE19"/>
    <mergeCell ref="AE23:AE25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V23:V25"/>
    <mergeCell ref="W23:W25"/>
    <mergeCell ref="X23:X25"/>
    <mergeCell ref="Y23:Y25"/>
    <mergeCell ref="Z23:Z25"/>
    <mergeCell ref="AA23:AA25"/>
    <mergeCell ref="AB23:AB25"/>
    <mergeCell ref="AC23:AC25"/>
    <mergeCell ref="AD23:AD25"/>
    <mergeCell ref="V20:V22"/>
    <mergeCell ref="AH16:AH17"/>
    <mergeCell ref="AI16:AI17"/>
    <mergeCell ref="AF18:AF19"/>
    <mergeCell ref="AG18:AG19"/>
    <mergeCell ref="AF23:AF25"/>
    <mergeCell ref="AG23:AG25"/>
    <mergeCell ref="AC14:AC15"/>
    <mergeCell ref="AD14:AD15"/>
    <mergeCell ref="AE14:AE15"/>
    <mergeCell ref="AH12:AH13"/>
    <mergeCell ref="AI12:AI13"/>
    <mergeCell ref="AJ12:AJ13"/>
    <mergeCell ref="AK12:AK13"/>
    <mergeCell ref="AL12:AL13"/>
    <mergeCell ref="AM12:AM13"/>
    <mergeCell ref="AH14:AH15"/>
    <mergeCell ref="AI14:AI15"/>
    <mergeCell ref="AK14:AK15"/>
    <mergeCell ref="AL14:AL15"/>
    <mergeCell ref="AM14:AM15"/>
    <mergeCell ref="AG12:AG13"/>
    <mergeCell ref="AJ16:AJ17"/>
    <mergeCell ref="AK16:AK17"/>
    <mergeCell ref="AL16:AL17"/>
    <mergeCell ref="AM16:AM17"/>
    <mergeCell ref="AE16:AE17"/>
    <mergeCell ref="AF16:AF17"/>
    <mergeCell ref="AG16:AG17"/>
    <mergeCell ref="AJ14:AJ15"/>
    <mergeCell ref="X18:X19"/>
    <mergeCell ref="Y18:Y19"/>
    <mergeCell ref="Z18:Z19"/>
    <mergeCell ref="T23:T25"/>
    <mergeCell ref="U23:U25"/>
    <mergeCell ref="T67:U67"/>
    <mergeCell ref="V67:W67"/>
    <mergeCell ref="X67:Y67"/>
    <mergeCell ref="Z20:Z22"/>
    <mergeCell ref="AA20:AA22"/>
    <mergeCell ref="AB20:AB22"/>
    <mergeCell ref="AC20:AC22"/>
    <mergeCell ref="AD20:AD22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W20:W22"/>
    <mergeCell ref="AA30:AA31"/>
    <mergeCell ref="AB30:AB31"/>
    <mergeCell ref="AC30:AC31"/>
    <mergeCell ref="AD30:AD31"/>
    <mergeCell ref="Z67:AA67"/>
    <mergeCell ref="AB67:AC67"/>
    <mergeCell ref="AD67:AE6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T106:U106"/>
    <mergeCell ref="V106:W106"/>
    <mergeCell ref="X106:Y106"/>
    <mergeCell ref="Z106:AA106"/>
    <mergeCell ref="AB106:AC106"/>
    <mergeCell ref="AD106:AE106"/>
    <mergeCell ref="AF106:AG106"/>
    <mergeCell ref="T120:T122"/>
    <mergeCell ref="U120:U122"/>
    <mergeCell ref="V120:V122"/>
    <mergeCell ref="W120:W122"/>
    <mergeCell ref="X120:X122"/>
    <mergeCell ref="Y120:Y122"/>
    <mergeCell ref="Z120:Z122"/>
    <mergeCell ref="AA120:AA122"/>
    <mergeCell ref="AB120:AB122"/>
    <mergeCell ref="T111:T113"/>
    <mergeCell ref="U111:U113"/>
    <mergeCell ref="V111:V113"/>
    <mergeCell ref="W111:W113"/>
    <mergeCell ref="X111:X113"/>
    <mergeCell ref="AC117:AC119"/>
    <mergeCell ref="AF67:AG67"/>
    <mergeCell ref="AH67:AI67"/>
    <mergeCell ref="AJ67:AK67"/>
    <mergeCell ref="AL67:AM67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F14:AF15"/>
    <mergeCell ref="AG14:AG15"/>
    <mergeCell ref="T18:T19"/>
    <mergeCell ref="U18:U19"/>
    <mergeCell ref="V18:V19"/>
    <mergeCell ref="W18:W19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D67:E67"/>
    <mergeCell ref="F67:G67"/>
    <mergeCell ref="H67:I67"/>
    <mergeCell ref="J67:K67"/>
    <mergeCell ref="L67:M67"/>
    <mergeCell ref="N67:O67"/>
    <mergeCell ref="P67:Q67"/>
    <mergeCell ref="R67:S67"/>
    <mergeCell ref="T1:U1"/>
    <mergeCell ref="T16:T17"/>
    <mergeCell ref="U16:U17"/>
    <mergeCell ref="T20:T22"/>
    <mergeCell ref="U20:U22"/>
    <mergeCell ref="T28:T29"/>
    <mergeCell ref="U28:U29"/>
    <mergeCell ref="T58:T60"/>
    <mergeCell ref="U58:U60"/>
    <mergeCell ref="D16:D17"/>
    <mergeCell ref="F16:F17"/>
    <mergeCell ref="G16:G17"/>
    <mergeCell ref="H16:H17"/>
    <mergeCell ref="I16:I17"/>
    <mergeCell ref="H12:H13"/>
    <mergeCell ref="Q175:Q176"/>
    <mergeCell ref="R175:R176"/>
    <mergeCell ref="S175:S176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Q170:Q172"/>
    <mergeCell ref="R170:R172"/>
    <mergeCell ref="S170:S172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S174"/>
    <mergeCell ref="D170:D172"/>
    <mergeCell ref="E170:E172"/>
    <mergeCell ref="F170:F172"/>
    <mergeCell ref="G170:G172"/>
    <mergeCell ref="H170:H172"/>
    <mergeCell ref="I170:I172"/>
    <mergeCell ref="J170:J172"/>
    <mergeCell ref="K170:K172"/>
    <mergeCell ref="L170:L172"/>
    <mergeCell ref="Q161:Q163"/>
    <mergeCell ref="R161:R163"/>
    <mergeCell ref="S161:S163"/>
    <mergeCell ref="D167:D169"/>
    <mergeCell ref="E167:E169"/>
    <mergeCell ref="F167:F169"/>
    <mergeCell ref="G167:G169"/>
    <mergeCell ref="H167:H169"/>
    <mergeCell ref="I167:I169"/>
    <mergeCell ref="J167:J169"/>
    <mergeCell ref="K167:K169"/>
    <mergeCell ref="L167:L169"/>
    <mergeCell ref="M167:M169"/>
    <mergeCell ref="N167:N169"/>
    <mergeCell ref="O167:O169"/>
    <mergeCell ref="P167:P169"/>
    <mergeCell ref="Q167:Q169"/>
    <mergeCell ref="R167:R169"/>
    <mergeCell ref="S167:S169"/>
    <mergeCell ref="G161:G163"/>
    <mergeCell ref="H161:H163"/>
    <mergeCell ref="I161:I163"/>
    <mergeCell ref="J161:J163"/>
    <mergeCell ref="K161:K163"/>
    <mergeCell ref="L161:L163"/>
    <mergeCell ref="M161:M163"/>
    <mergeCell ref="N161:N163"/>
    <mergeCell ref="O161:O163"/>
    <mergeCell ref="D161:D163"/>
    <mergeCell ref="E161:E163"/>
    <mergeCell ref="F161:F163"/>
    <mergeCell ref="F152:F154"/>
    <mergeCell ref="G152:G154"/>
    <mergeCell ref="H152:H154"/>
    <mergeCell ref="I152:I154"/>
    <mergeCell ref="J152:J154"/>
    <mergeCell ref="K152:K154"/>
    <mergeCell ref="L152:L154"/>
    <mergeCell ref="M152:M154"/>
    <mergeCell ref="N152:N154"/>
    <mergeCell ref="O152:O154"/>
    <mergeCell ref="P152:P154"/>
    <mergeCell ref="Q152:Q154"/>
    <mergeCell ref="S152:S154"/>
    <mergeCell ref="D158:D160"/>
    <mergeCell ref="E158:E160"/>
    <mergeCell ref="F158:F160"/>
    <mergeCell ref="G158:G160"/>
    <mergeCell ref="H158:H160"/>
    <mergeCell ref="I158:I160"/>
    <mergeCell ref="J158:J160"/>
    <mergeCell ref="K158:K160"/>
    <mergeCell ref="L158:L160"/>
    <mergeCell ref="M158:M160"/>
    <mergeCell ref="N158:N160"/>
    <mergeCell ref="O158:O160"/>
    <mergeCell ref="P158:P160"/>
    <mergeCell ref="Q158:Q160"/>
    <mergeCell ref="R158:R160"/>
    <mergeCell ref="S158:S160"/>
    <mergeCell ref="R152:R154"/>
    <mergeCell ref="Q134:Q135"/>
    <mergeCell ref="R134:R135"/>
    <mergeCell ref="K136:K137"/>
    <mergeCell ref="D136:D137"/>
    <mergeCell ref="E136:E137"/>
    <mergeCell ref="F136:F137"/>
    <mergeCell ref="G136:G137"/>
    <mergeCell ref="R136:R137"/>
    <mergeCell ref="R147:S147"/>
    <mergeCell ref="L147:M147"/>
    <mergeCell ref="N147:O147"/>
    <mergeCell ref="D147:E147"/>
    <mergeCell ref="F147:G147"/>
    <mergeCell ref="H147:I147"/>
    <mergeCell ref="J147:K147"/>
    <mergeCell ref="S136:S137"/>
    <mergeCell ref="L136:L137"/>
    <mergeCell ref="M136:M137"/>
    <mergeCell ref="N136:N137"/>
    <mergeCell ref="O136:O137"/>
    <mergeCell ref="Q136:Q137"/>
    <mergeCell ref="P147:Q147"/>
    <mergeCell ref="H136:H137"/>
    <mergeCell ref="I136:I137"/>
    <mergeCell ref="J136:J137"/>
    <mergeCell ref="D138:D140"/>
    <mergeCell ref="E138:E140"/>
    <mergeCell ref="F138:F140"/>
    <mergeCell ref="G138:G140"/>
    <mergeCell ref="S90:S91"/>
    <mergeCell ref="M78:M80"/>
    <mergeCell ref="N78:N80"/>
    <mergeCell ref="Q132:Q133"/>
    <mergeCell ref="H132:H133"/>
    <mergeCell ref="I132:I133"/>
    <mergeCell ref="J132:J133"/>
    <mergeCell ref="K132:K133"/>
    <mergeCell ref="S16:S17"/>
    <mergeCell ref="S30:S31"/>
    <mergeCell ref="D134:D135"/>
    <mergeCell ref="E134:E135"/>
    <mergeCell ref="F134:F135"/>
    <mergeCell ref="G134:G135"/>
    <mergeCell ref="R132:R133"/>
    <mergeCell ref="S132:S133"/>
    <mergeCell ref="L132:L133"/>
    <mergeCell ref="M132:M133"/>
    <mergeCell ref="N132:N133"/>
    <mergeCell ref="O132:O133"/>
    <mergeCell ref="S134:S135"/>
    <mergeCell ref="L134:L135"/>
    <mergeCell ref="M134:M135"/>
    <mergeCell ref="N134:N135"/>
    <mergeCell ref="O134:O135"/>
    <mergeCell ref="H134:H135"/>
    <mergeCell ref="I134:I135"/>
    <mergeCell ref="D90:D91"/>
    <mergeCell ref="E90:E91"/>
    <mergeCell ref="F90:F91"/>
    <mergeCell ref="G90:G91"/>
    <mergeCell ref="P88:P89"/>
    <mergeCell ref="S88:S89"/>
    <mergeCell ref="M88:M89"/>
    <mergeCell ref="H30:H31"/>
    <mergeCell ref="I30:I31"/>
    <mergeCell ref="J30:J31"/>
    <mergeCell ref="K30:K31"/>
    <mergeCell ref="L30:L31"/>
    <mergeCell ref="M30:M31"/>
    <mergeCell ref="N30:N31"/>
    <mergeCell ref="D81:D83"/>
    <mergeCell ref="E81:E83"/>
    <mergeCell ref="F81:F83"/>
    <mergeCell ref="G81:G83"/>
    <mergeCell ref="H81:H83"/>
    <mergeCell ref="O78:O80"/>
    <mergeCell ref="O72:O74"/>
    <mergeCell ref="P72:P74"/>
    <mergeCell ref="M72:M74"/>
    <mergeCell ref="N72:N74"/>
    <mergeCell ref="P78:P80"/>
    <mergeCell ref="Q78:Q80"/>
    <mergeCell ref="J88:J89"/>
    <mergeCell ref="K88:K89"/>
    <mergeCell ref="R86:R87"/>
    <mergeCell ref="S86:S87"/>
    <mergeCell ref="L86:L87"/>
    <mergeCell ref="M86:M87"/>
    <mergeCell ref="N86:N87"/>
    <mergeCell ref="O86:O87"/>
    <mergeCell ref="Q88:Q89"/>
    <mergeCell ref="H88:H89"/>
    <mergeCell ref="I88:I89"/>
    <mergeCell ref="S95:S97"/>
    <mergeCell ref="O95:O97"/>
    <mergeCell ref="I12:I13"/>
    <mergeCell ref="J12:J13"/>
    <mergeCell ref="L81:L83"/>
    <mergeCell ref="I81:I83"/>
    <mergeCell ref="J81:J83"/>
    <mergeCell ref="K81:K83"/>
    <mergeCell ref="L12:L13"/>
    <mergeCell ref="K12:K13"/>
    <mergeCell ref="D12:D13"/>
    <mergeCell ref="E12:E13"/>
    <mergeCell ref="F12:F13"/>
    <mergeCell ref="G12:G13"/>
    <mergeCell ref="D86:D87"/>
    <mergeCell ref="E86:E87"/>
    <mergeCell ref="F86:F87"/>
    <mergeCell ref="G86:G87"/>
    <mergeCell ref="L88:L89"/>
    <mergeCell ref="G72:G74"/>
    <mergeCell ref="H72:H74"/>
    <mergeCell ref="I72:I74"/>
    <mergeCell ref="J72:J74"/>
    <mergeCell ref="K72:K74"/>
    <mergeCell ref="L72:L74"/>
    <mergeCell ref="L78:L80"/>
    <mergeCell ref="G78:G80"/>
    <mergeCell ref="H78:H80"/>
    <mergeCell ref="P16:P17"/>
    <mergeCell ref="D95:D97"/>
    <mergeCell ref="E95:E97"/>
    <mergeCell ref="F95:F97"/>
    <mergeCell ref="D14:D15"/>
    <mergeCell ref="E14:E15"/>
    <mergeCell ref="F14:F15"/>
    <mergeCell ref="G14:G15"/>
    <mergeCell ref="Q12:Q13"/>
    <mergeCell ref="O14:O15"/>
    <mergeCell ref="P95:P97"/>
    <mergeCell ref="Q95:Q97"/>
    <mergeCell ref="H95:H97"/>
    <mergeCell ref="I95:I97"/>
    <mergeCell ref="J95:J97"/>
    <mergeCell ref="K95:K97"/>
    <mergeCell ref="L95:L97"/>
    <mergeCell ref="M95:M97"/>
    <mergeCell ref="H14:H15"/>
    <mergeCell ref="I14:I15"/>
    <mergeCell ref="D20:D22"/>
    <mergeCell ref="E20:E22"/>
    <mergeCell ref="N18:N19"/>
    <mergeCell ref="J16:J17"/>
    <mergeCell ref="J14:J15"/>
    <mergeCell ref="F20:F22"/>
    <mergeCell ref="D88:D89"/>
    <mergeCell ref="E88:E89"/>
    <mergeCell ref="F88:F89"/>
    <mergeCell ref="G88:G89"/>
    <mergeCell ref="P86:P87"/>
    <mergeCell ref="Q86:Q87"/>
    <mergeCell ref="H86:H87"/>
    <mergeCell ref="I86:I87"/>
    <mergeCell ref="J86:J87"/>
    <mergeCell ref="K86:K87"/>
    <mergeCell ref="L20:L22"/>
    <mergeCell ref="K16:K17"/>
    <mergeCell ref="L16:L17"/>
    <mergeCell ref="O16:O17"/>
    <mergeCell ref="L18:L19"/>
    <mergeCell ref="M18:M19"/>
    <mergeCell ref="G95:G97"/>
    <mergeCell ref="Q129:Q131"/>
    <mergeCell ref="R129:R131"/>
    <mergeCell ref="M129:M131"/>
    <mergeCell ref="N129:N131"/>
    <mergeCell ref="Q126:Q128"/>
    <mergeCell ref="R126:R128"/>
    <mergeCell ref="R12:R13"/>
    <mergeCell ref="M12:M13"/>
    <mergeCell ref="N12:N13"/>
    <mergeCell ref="O12:O13"/>
    <mergeCell ref="P12:P13"/>
    <mergeCell ref="K120:K122"/>
    <mergeCell ref="R88:R89"/>
    <mergeCell ref="L90:L91"/>
    <mergeCell ref="M90:M91"/>
    <mergeCell ref="N90:N91"/>
    <mergeCell ref="O90:O91"/>
    <mergeCell ref="P90:P91"/>
    <mergeCell ref="Q90:Q91"/>
    <mergeCell ref="H90:H91"/>
    <mergeCell ref="I90:I91"/>
    <mergeCell ref="J90:J91"/>
    <mergeCell ref="K90:K91"/>
    <mergeCell ref="R90:R91"/>
    <mergeCell ref="R72:R74"/>
    <mergeCell ref="R78:R80"/>
    <mergeCell ref="N20:N22"/>
    <mergeCell ref="O117:O119"/>
    <mergeCell ref="K58:K60"/>
    <mergeCell ref="M111:M113"/>
    <mergeCell ref="S12:S13"/>
    <mergeCell ref="S14:S15"/>
    <mergeCell ref="P14:P15"/>
    <mergeCell ref="Q14:Q15"/>
    <mergeCell ref="Q16:Q17"/>
    <mergeCell ref="R16:R17"/>
    <mergeCell ref="K20:K22"/>
    <mergeCell ref="K23:K25"/>
    <mergeCell ref="R14:R15"/>
    <mergeCell ref="K14:K15"/>
    <mergeCell ref="L14:L15"/>
    <mergeCell ref="O20:O22"/>
    <mergeCell ref="P20:P22"/>
    <mergeCell ref="Q20:Q22"/>
    <mergeCell ref="R20:R22"/>
    <mergeCell ref="O23:O25"/>
    <mergeCell ref="M20:M22"/>
    <mergeCell ref="R23:R25"/>
    <mergeCell ref="K18:K19"/>
    <mergeCell ref="M14:M15"/>
    <mergeCell ref="N14:N15"/>
    <mergeCell ref="L23:L25"/>
    <mergeCell ref="M23:M25"/>
    <mergeCell ref="N23:N25"/>
    <mergeCell ref="M16:M17"/>
    <mergeCell ref="N16:N17"/>
    <mergeCell ref="P23:P25"/>
    <mergeCell ref="P129:P131"/>
    <mergeCell ref="D126:D128"/>
    <mergeCell ref="E126:E128"/>
    <mergeCell ref="F126:F128"/>
    <mergeCell ref="G126:G128"/>
    <mergeCell ref="H126:H128"/>
    <mergeCell ref="L120:L122"/>
    <mergeCell ref="L111:L113"/>
    <mergeCell ref="H28:H29"/>
    <mergeCell ref="I28:I29"/>
    <mergeCell ref="I20:I22"/>
    <mergeCell ref="G20:G22"/>
    <mergeCell ref="H20:H22"/>
    <mergeCell ref="P58:P60"/>
    <mergeCell ref="Q58:Q60"/>
    <mergeCell ref="R58:R60"/>
    <mergeCell ref="R28:R29"/>
    <mergeCell ref="O28:O29"/>
    <mergeCell ref="P30:P31"/>
    <mergeCell ref="Q30:Q31"/>
    <mergeCell ref="R117:R119"/>
    <mergeCell ref="O120:O122"/>
    <mergeCell ref="P120:P122"/>
    <mergeCell ref="R95:R97"/>
    <mergeCell ref="N95:N97"/>
    <mergeCell ref="O81:O83"/>
    <mergeCell ref="P81:P83"/>
    <mergeCell ref="Q81:Q83"/>
    <mergeCell ref="R81:R83"/>
    <mergeCell ref="M81:M83"/>
    <mergeCell ref="N81:N83"/>
    <mergeCell ref="Q72:Q74"/>
    <mergeCell ref="R1:S1"/>
    <mergeCell ref="D1:E1"/>
    <mergeCell ref="F1:G1"/>
    <mergeCell ref="H1:I1"/>
    <mergeCell ref="J1:K1"/>
    <mergeCell ref="L1:M1"/>
    <mergeCell ref="N1:O1"/>
    <mergeCell ref="P1:Q1"/>
    <mergeCell ref="M120:M122"/>
    <mergeCell ref="N120:N122"/>
    <mergeCell ref="G111:G113"/>
    <mergeCell ref="H111:H113"/>
    <mergeCell ref="I111:I113"/>
    <mergeCell ref="J111:J113"/>
    <mergeCell ref="K111:K113"/>
    <mergeCell ref="R111:R113"/>
    <mergeCell ref="S111:S113"/>
    <mergeCell ref="H120:H122"/>
    <mergeCell ref="I120:I122"/>
    <mergeCell ref="J120:J122"/>
    <mergeCell ref="D23:D25"/>
    <mergeCell ref="F23:F25"/>
    <mergeCell ref="G23:G25"/>
    <mergeCell ref="H23:H25"/>
    <mergeCell ref="I23:I25"/>
    <mergeCell ref="H18:H19"/>
    <mergeCell ref="I18:I19"/>
    <mergeCell ref="J18:J19"/>
    <mergeCell ref="D18:D19"/>
    <mergeCell ref="E18:E19"/>
    <mergeCell ref="F18:F19"/>
    <mergeCell ref="G18:G19"/>
    <mergeCell ref="E23:E25"/>
    <mergeCell ref="F30:F31"/>
    <mergeCell ref="G30:G31"/>
    <mergeCell ref="J20:J22"/>
    <mergeCell ref="J23:J25"/>
    <mergeCell ref="J28:J29"/>
    <mergeCell ref="E16:E17"/>
    <mergeCell ref="F28:F29"/>
    <mergeCell ref="G28:G29"/>
    <mergeCell ref="K28:K29"/>
    <mergeCell ref="H58:H60"/>
    <mergeCell ref="I58:I60"/>
    <mergeCell ref="J58:J60"/>
    <mergeCell ref="S120:S122"/>
    <mergeCell ref="O18:O19"/>
    <mergeCell ref="P18:P19"/>
    <mergeCell ref="Q18:Q19"/>
    <mergeCell ref="S18:S19"/>
    <mergeCell ref="O30:O31"/>
    <mergeCell ref="R30:R31"/>
    <mergeCell ref="P106:Q106"/>
    <mergeCell ref="R106:S106"/>
    <mergeCell ref="Q120:Q122"/>
    <mergeCell ref="O58:O60"/>
    <mergeCell ref="R18:R19"/>
    <mergeCell ref="S28:S29"/>
    <mergeCell ref="P28:P29"/>
    <mergeCell ref="S23:S25"/>
    <mergeCell ref="S20:S22"/>
    <mergeCell ref="Q28:Q29"/>
    <mergeCell ref="R120:R122"/>
    <mergeCell ref="S117:S119"/>
    <mergeCell ref="Q23:Q25"/>
    <mergeCell ref="O111:O113"/>
    <mergeCell ref="L58:L60"/>
    <mergeCell ref="M58:M60"/>
    <mergeCell ref="N58:N60"/>
    <mergeCell ref="J106:K106"/>
    <mergeCell ref="F117:F119"/>
    <mergeCell ref="G117:G119"/>
    <mergeCell ref="L117:L119"/>
    <mergeCell ref="M117:M119"/>
    <mergeCell ref="H117:H119"/>
    <mergeCell ref="I117:I119"/>
    <mergeCell ref="L106:M106"/>
    <mergeCell ref="N106:O106"/>
    <mergeCell ref="P111:P113"/>
    <mergeCell ref="H106:I106"/>
    <mergeCell ref="P117:P119"/>
    <mergeCell ref="F92:F94"/>
    <mergeCell ref="G92:G94"/>
    <mergeCell ref="H92:H94"/>
    <mergeCell ref="I92:I94"/>
    <mergeCell ref="J92:J94"/>
    <mergeCell ref="K92:K94"/>
    <mergeCell ref="L92:L94"/>
    <mergeCell ref="M92:M94"/>
    <mergeCell ref="N92:N94"/>
    <mergeCell ref="O92:O94"/>
    <mergeCell ref="P92:P94"/>
    <mergeCell ref="Q92:Q94"/>
    <mergeCell ref="S58:S60"/>
    <mergeCell ref="N28:N29"/>
    <mergeCell ref="L28:L29"/>
    <mergeCell ref="M28:M29"/>
    <mergeCell ref="S78:S80"/>
    <mergeCell ref="S72:S74"/>
    <mergeCell ref="S81:S83"/>
    <mergeCell ref="P132:P133"/>
    <mergeCell ref="P134:P135"/>
    <mergeCell ref="N117:N119"/>
    <mergeCell ref="P136:P137"/>
    <mergeCell ref="P161:P163"/>
    <mergeCell ref="M170:M172"/>
    <mergeCell ref="N170:N172"/>
    <mergeCell ref="O170:O172"/>
    <mergeCell ref="P170:P172"/>
    <mergeCell ref="M175:M176"/>
    <mergeCell ref="N175:N176"/>
    <mergeCell ref="O175:O176"/>
    <mergeCell ref="P175:P176"/>
    <mergeCell ref="N111:N113"/>
    <mergeCell ref="Q117:Q119"/>
    <mergeCell ref="Q111:Q113"/>
    <mergeCell ref="S126:S128"/>
    <mergeCell ref="L126:L128"/>
    <mergeCell ref="S129:S131"/>
    <mergeCell ref="L129:L131"/>
    <mergeCell ref="M126:M128"/>
    <mergeCell ref="N126:N128"/>
    <mergeCell ref="O126:O128"/>
    <mergeCell ref="P126:P128"/>
    <mergeCell ref="O129:O131"/>
    <mergeCell ref="A193:E193"/>
    <mergeCell ref="D72:D74"/>
    <mergeCell ref="E72:E74"/>
    <mergeCell ref="F72:F74"/>
    <mergeCell ref="D78:D80"/>
    <mergeCell ref="E78:E80"/>
    <mergeCell ref="F78:F80"/>
    <mergeCell ref="D111:D113"/>
    <mergeCell ref="E111:E113"/>
    <mergeCell ref="F111:F113"/>
    <mergeCell ref="D106:E106"/>
    <mergeCell ref="F106:G106"/>
    <mergeCell ref="K134:K135"/>
    <mergeCell ref="K117:K119"/>
    <mergeCell ref="N88:N89"/>
    <mergeCell ref="O88:O89"/>
    <mergeCell ref="I78:I80"/>
    <mergeCell ref="J78:J80"/>
    <mergeCell ref="K78:K80"/>
    <mergeCell ref="D129:D131"/>
    <mergeCell ref="E129:E131"/>
    <mergeCell ref="F129:F131"/>
    <mergeCell ref="G129:G131"/>
    <mergeCell ref="H129:H131"/>
    <mergeCell ref="I129:I131"/>
    <mergeCell ref="J129:J131"/>
    <mergeCell ref="K126:K128"/>
    <mergeCell ref="K129:K131"/>
    <mergeCell ref="I126:I128"/>
    <mergeCell ref="J126:J128"/>
    <mergeCell ref="D152:D154"/>
    <mergeCell ref="E152:E154"/>
    <mergeCell ref="D58:D60"/>
    <mergeCell ref="D28:D29"/>
    <mergeCell ref="E28:E29"/>
    <mergeCell ref="D132:D133"/>
    <mergeCell ref="E132:E133"/>
    <mergeCell ref="F132:F133"/>
    <mergeCell ref="E58:E60"/>
    <mergeCell ref="G58:G60"/>
    <mergeCell ref="F58:F60"/>
    <mergeCell ref="D30:D31"/>
    <mergeCell ref="E30:E31"/>
    <mergeCell ref="D120:D122"/>
    <mergeCell ref="E120:E122"/>
    <mergeCell ref="F120:F122"/>
    <mergeCell ref="G120:G122"/>
    <mergeCell ref="G132:G133"/>
    <mergeCell ref="J134:J135"/>
    <mergeCell ref="J117:J119"/>
    <mergeCell ref="D117:D119"/>
    <mergeCell ref="E117:E119"/>
    <mergeCell ref="D92:D94"/>
    <mergeCell ref="E92:E94"/>
    <mergeCell ref="AD152:AD154"/>
    <mergeCell ref="AF152:AF154"/>
    <mergeCell ref="AG152:AG154"/>
    <mergeCell ref="AJ152:AJ154"/>
    <mergeCell ref="AK152:AK154"/>
    <mergeCell ref="AB158:AB160"/>
    <mergeCell ref="AC158:AC160"/>
    <mergeCell ref="AD158:AD160"/>
    <mergeCell ref="AE158:AE160"/>
    <mergeCell ref="AF158:AF160"/>
    <mergeCell ref="AG158:AG160"/>
    <mergeCell ref="AJ158:AJ160"/>
    <mergeCell ref="AK158:AK160"/>
    <mergeCell ref="AB161:AB163"/>
    <mergeCell ref="AC161:AC163"/>
    <mergeCell ref="AD161:AD163"/>
    <mergeCell ref="AE161:AE163"/>
    <mergeCell ref="AF161:AF163"/>
    <mergeCell ref="AG161:AG163"/>
    <mergeCell ref="AJ161:AJ163"/>
    <mergeCell ref="AK161:AK163"/>
    <mergeCell ref="AB167:AB169"/>
    <mergeCell ref="AC167:AC169"/>
    <mergeCell ref="AD167:AD169"/>
    <mergeCell ref="AE167:AE169"/>
    <mergeCell ref="AH167:AH169"/>
    <mergeCell ref="AI167:AI169"/>
    <mergeCell ref="AJ167:AJ169"/>
    <mergeCell ref="AK167:AK169"/>
    <mergeCell ref="AF167:AF169"/>
    <mergeCell ref="AG167:AG169"/>
    <mergeCell ref="AB173:AB174"/>
    <mergeCell ref="AC173:AC174"/>
    <mergeCell ref="AD173:AD174"/>
    <mergeCell ref="AE173:AE174"/>
    <mergeCell ref="AH173:AH174"/>
    <mergeCell ref="AI173:AI174"/>
    <mergeCell ref="AJ173:AJ174"/>
    <mergeCell ref="AK173:AK174"/>
    <mergeCell ref="AF173:AF174"/>
    <mergeCell ref="AG173:AG174"/>
    <mergeCell ref="AC170:AC172"/>
    <mergeCell ref="AE170:AE172"/>
    <mergeCell ref="AG170:AG172"/>
    <mergeCell ref="AK170:AK172"/>
    <mergeCell ref="AD170:AD172"/>
    <mergeCell ref="AF170:AF172"/>
    <mergeCell ref="AJ170:AJ172"/>
    <mergeCell ref="AB175:AB176"/>
    <mergeCell ref="AC175:AC176"/>
    <mergeCell ref="AD175:AD176"/>
    <mergeCell ref="AE175:AE176"/>
    <mergeCell ref="AH175:AH176"/>
    <mergeCell ref="AI175:AI176"/>
    <mergeCell ref="AJ175:AJ176"/>
    <mergeCell ref="AK175:AK176"/>
    <mergeCell ref="AF177:AF178"/>
    <mergeCell ref="AG177:AG178"/>
    <mergeCell ref="AH177:AH178"/>
    <mergeCell ref="AI177:AI178"/>
    <mergeCell ref="AJ177:AJ178"/>
    <mergeCell ref="AK177:AK178"/>
    <mergeCell ref="AD177:AD178"/>
    <mergeCell ref="AE177:AE178"/>
    <mergeCell ref="AB177:AB178"/>
    <mergeCell ref="AC177:AC178"/>
    <mergeCell ref="AF175:AF176"/>
    <mergeCell ref="AG175:AG176"/>
  </mergeCells>
  <phoneticPr fontId="33" type="noConversion"/>
  <pageMargins left="0.82677165354330717" right="0.23622047244094491" top="0.74803149606299213" bottom="0.35433070866141736" header="0.31496062992125984" footer="0.11811023622047245"/>
  <pageSetup paperSize="9" scale="54" fitToHeight="4" orientation="landscape" horizontalDpi="300" verticalDpi="300" r:id="rId1"/>
  <headerFooter alignWithMargins="0">
    <oddHeader>&amp;L&amp;"Arial,Negrita"&amp;12ANEXO I&amp;CLOTE 2. SILLERIA DE DESPACHOS&amp;RPágina &amp;P de &amp;N</oddHeader>
  </headerFooter>
  <rowBreaks count="3" manualBreakCount="3">
    <brk id="66" max="16383" man="1"/>
    <brk id="105" max="16383" man="1"/>
    <brk id="1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opLeftCell="B1" workbookViewId="0">
      <selection activeCell="B53" sqref="B53:K54"/>
    </sheetView>
  </sheetViews>
  <sheetFormatPr baseColWidth="10" defaultRowHeight="13.2" x14ac:dyDescent="0.25"/>
  <cols>
    <col min="1" max="1" width="13.88671875" customWidth="1"/>
    <col min="2" max="2" width="55" customWidth="1"/>
    <col min="3" max="3" width="11.6640625" style="27" customWidth="1"/>
    <col min="4" max="4" width="11.109375" style="27" customWidth="1"/>
    <col min="5" max="5" width="12.44140625" bestFit="1" customWidth="1"/>
    <col min="6" max="6" width="12.44140625" customWidth="1"/>
    <col min="7" max="7" width="11.44140625" customWidth="1"/>
    <col min="8" max="8" width="11.109375" customWidth="1"/>
    <col min="9" max="9" width="11.33203125" customWidth="1"/>
    <col min="12" max="12" width="13" customWidth="1"/>
  </cols>
  <sheetData>
    <row r="1" spans="1:14" x14ac:dyDescent="0.25">
      <c r="A1" s="30" t="str">
        <f>Empresas!A1</f>
        <v>EXPEDIENTE Nº 495/11</v>
      </c>
      <c r="C1" s="98" t="str">
        <f>Empresas!A2</f>
        <v>SUMINISTRO  E INSTALACIÓN DE DIVERSO EQUIPAMIENTO PARA EL EDIFICIO DE GOBIERNO</v>
      </c>
      <c r="D1" s="99"/>
      <c r="E1" s="99"/>
      <c r="F1" s="99"/>
      <c r="G1" s="99"/>
    </row>
    <row r="2" spans="1:14" ht="19.5" customHeight="1" x14ac:dyDescent="0.25">
      <c r="A2" s="30" t="str">
        <f>Empresas!A50</f>
        <v>LOTE 3: MOBILIARIO DE DESPACHOS</v>
      </c>
      <c r="B2" s="101"/>
      <c r="C2" s="1043">
        <f>Empresas!F50</f>
        <v>233005.08</v>
      </c>
      <c r="D2" s="1043"/>
      <c r="E2" s="99"/>
      <c r="F2" s="99"/>
      <c r="G2" s="99"/>
      <c r="H2" t="s">
        <v>1</v>
      </c>
      <c r="I2" s="934">
        <v>45</v>
      </c>
    </row>
    <row r="3" spans="1:14" x14ac:dyDescent="0.25">
      <c r="A3" s="99"/>
      <c r="B3" s="99"/>
      <c r="C3" s="99"/>
      <c r="D3" s="99"/>
      <c r="E3" s="99"/>
      <c r="F3" s="99"/>
      <c r="G3" s="99"/>
    </row>
    <row r="4" spans="1:14" ht="39.6" x14ac:dyDescent="0.25">
      <c r="A4" s="154" t="s">
        <v>5</v>
      </c>
      <c r="B4" s="154" t="s">
        <v>6</v>
      </c>
      <c r="C4" s="154" t="s">
        <v>7</v>
      </c>
      <c r="D4" s="343" t="s">
        <v>54</v>
      </c>
      <c r="E4" s="343" t="s">
        <v>55</v>
      </c>
      <c r="F4" s="343" t="s">
        <v>111</v>
      </c>
      <c r="G4" s="155" t="s">
        <v>4</v>
      </c>
    </row>
    <row r="5" spans="1:14" x14ac:dyDescent="0.25">
      <c r="A5" s="156" t="s">
        <v>591</v>
      </c>
      <c r="B5" s="157" t="s">
        <v>253</v>
      </c>
      <c r="C5" s="159">
        <v>11</v>
      </c>
      <c r="D5" s="160">
        <f>E5/1.18</f>
        <v>550.84745762711873</v>
      </c>
      <c r="E5" s="160">
        <v>650</v>
      </c>
      <c r="F5" s="161">
        <f>C5*E5</f>
        <v>7150</v>
      </c>
      <c r="G5" s="162">
        <f t="shared" ref="G5:G18" si="0">(F5*100)/$F$22</f>
        <v>2.5152480032842677</v>
      </c>
    </row>
    <row r="6" spans="1:14" ht="12.75" customHeight="1" x14ac:dyDescent="0.25">
      <c r="A6" s="156" t="s">
        <v>592</v>
      </c>
      <c r="B6" s="157" t="s">
        <v>254</v>
      </c>
      <c r="C6" s="159">
        <v>84</v>
      </c>
      <c r="D6" s="160">
        <f t="shared" ref="D6:D18" si="1">E6/1.18</f>
        <v>440.67796610169495</v>
      </c>
      <c r="E6" s="160">
        <v>520</v>
      </c>
      <c r="F6" s="161">
        <f t="shared" ref="F6:F18" si="2">C6*E6</f>
        <v>43680</v>
      </c>
      <c r="G6" s="162">
        <f t="shared" si="0"/>
        <v>15.36587871097298</v>
      </c>
    </row>
    <row r="7" spans="1:14" ht="12.75" customHeight="1" x14ac:dyDescent="0.25">
      <c r="A7" s="157" t="s">
        <v>255</v>
      </c>
      <c r="B7" s="157" t="s">
        <v>256</v>
      </c>
      <c r="C7" s="159">
        <v>18</v>
      </c>
      <c r="D7" s="160">
        <f t="shared" si="1"/>
        <v>423.72881355932208</v>
      </c>
      <c r="E7" s="160">
        <v>500</v>
      </c>
      <c r="F7" s="161">
        <f t="shared" si="2"/>
        <v>9000</v>
      </c>
      <c r="G7" s="162">
        <f t="shared" si="0"/>
        <v>3.1660464377004769</v>
      </c>
    </row>
    <row r="8" spans="1:14" x14ac:dyDescent="0.25">
      <c r="A8" s="156" t="s">
        <v>593</v>
      </c>
      <c r="B8" s="158" t="s">
        <v>273</v>
      </c>
      <c r="C8" s="159">
        <v>97</v>
      </c>
      <c r="D8" s="160">
        <f t="shared" si="1"/>
        <v>156.77966101694915</v>
      </c>
      <c r="E8" s="160">
        <v>185</v>
      </c>
      <c r="F8" s="161">
        <f t="shared" si="2"/>
        <v>17945</v>
      </c>
      <c r="G8" s="162">
        <f t="shared" si="0"/>
        <v>6.3127448138372282</v>
      </c>
    </row>
    <row r="9" spans="1:14" x14ac:dyDescent="0.25">
      <c r="A9" s="156" t="s">
        <v>594</v>
      </c>
      <c r="B9" s="158" t="s">
        <v>274</v>
      </c>
      <c r="C9" s="159">
        <v>95</v>
      </c>
      <c r="D9" s="160">
        <f t="shared" si="1"/>
        <v>152.54237288135593</v>
      </c>
      <c r="E9" s="160">
        <v>180</v>
      </c>
      <c r="F9" s="161">
        <f t="shared" si="2"/>
        <v>17100</v>
      </c>
      <c r="G9" s="162">
        <f t="shared" si="0"/>
        <v>6.015488231630906</v>
      </c>
    </row>
    <row r="10" spans="1:14" x14ac:dyDescent="0.25">
      <c r="A10" s="156" t="s">
        <v>595</v>
      </c>
      <c r="B10" s="158" t="s">
        <v>275</v>
      </c>
      <c r="C10" s="159">
        <v>194</v>
      </c>
      <c r="D10" s="160">
        <f t="shared" si="1"/>
        <v>483.05084745762713</v>
      </c>
      <c r="E10" s="160">
        <v>570</v>
      </c>
      <c r="F10" s="161">
        <f t="shared" si="2"/>
        <v>110580</v>
      </c>
      <c r="G10" s="162">
        <f t="shared" si="0"/>
        <v>38.900157231213193</v>
      </c>
    </row>
    <row r="11" spans="1:14" x14ac:dyDescent="0.25">
      <c r="A11" s="157" t="s">
        <v>257</v>
      </c>
      <c r="B11" s="157" t="s">
        <v>258</v>
      </c>
      <c r="C11" s="159">
        <v>9</v>
      </c>
      <c r="D11" s="160">
        <f t="shared" si="1"/>
        <v>1000</v>
      </c>
      <c r="E11" s="160">
        <v>1180</v>
      </c>
      <c r="F11" s="161">
        <f t="shared" si="2"/>
        <v>10620</v>
      </c>
      <c r="G11" s="162">
        <f t="shared" si="0"/>
        <v>3.7359347964865623</v>
      </c>
    </row>
    <row r="12" spans="1:14" s="96" customFormat="1" x14ac:dyDescent="0.25">
      <c r="A12" s="157" t="s">
        <v>259</v>
      </c>
      <c r="B12" s="157" t="s">
        <v>260</v>
      </c>
      <c r="C12" s="159">
        <v>12</v>
      </c>
      <c r="D12" s="160">
        <f t="shared" si="1"/>
        <v>1271.1864406779662</v>
      </c>
      <c r="E12" s="160">
        <v>1500</v>
      </c>
      <c r="F12" s="161">
        <f t="shared" si="2"/>
        <v>18000</v>
      </c>
      <c r="G12" s="162">
        <f t="shared" si="0"/>
        <v>6.3320928754009538</v>
      </c>
      <c r="J12"/>
      <c r="K12"/>
      <c r="L12"/>
      <c r="M12"/>
      <c r="N12"/>
    </row>
    <row r="13" spans="1:14" s="96" customFormat="1" x14ac:dyDescent="0.25">
      <c r="A13" s="157" t="s">
        <v>261</v>
      </c>
      <c r="B13" s="157" t="s">
        <v>262</v>
      </c>
      <c r="C13" s="159">
        <v>16</v>
      </c>
      <c r="D13" s="160">
        <f t="shared" si="1"/>
        <v>593.22033898305085</v>
      </c>
      <c r="E13" s="160">
        <v>700</v>
      </c>
      <c r="F13" s="161">
        <f t="shared" si="2"/>
        <v>11200</v>
      </c>
      <c r="G13" s="162">
        <f t="shared" si="0"/>
        <v>3.939968900249482</v>
      </c>
      <c r="J13"/>
      <c r="K13"/>
      <c r="L13"/>
      <c r="M13"/>
      <c r="N13"/>
    </row>
    <row r="14" spans="1:14" s="96" customFormat="1" x14ac:dyDescent="0.25">
      <c r="A14" s="157" t="s">
        <v>263</v>
      </c>
      <c r="B14" s="157" t="s">
        <v>264</v>
      </c>
      <c r="C14" s="159">
        <v>2</v>
      </c>
      <c r="D14" s="160">
        <f t="shared" si="1"/>
        <v>720.33898305084745</v>
      </c>
      <c r="E14" s="160">
        <v>850</v>
      </c>
      <c r="F14" s="161">
        <f t="shared" si="2"/>
        <v>1700</v>
      </c>
      <c r="G14" s="162">
        <f t="shared" si="0"/>
        <v>0.59803099378786784</v>
      </c>
      <c r="J14"/>
      <c r="K14"/>
      <c r="L14"/>
      <c r="M14"/>
      <c r="N14"/>
    </row>
    <row r="15" spans="1:14" s="96" customFormat="1" x14ac:dyDescent="0.25">
      <c r="A15" s="157" t="s">
        <v>265</v>
      </c>
      <c r="B15" s="157" t="s">
        <v>266</v>
      </c>
      <c r="C15" s="159">
        <v>11</v>
      </c>
      <c r="D15" s="160">
        <f t="shared" si="1"/>
        <v>584.74576271186447</v>
      </c>
      <c r="E15" s="160">
        <v>690</v>
      </c>
      <c r="F15" s="161">
        <f t="shared" si="2"/>
        <v>7590</v>
      </c>
      <c r="G15" s="162">
        <f t="shared" si="0"/>
        <v>2.6700324957940689</v>
      </c>
      <c r="J15"/>
      <c r="K15"/>
      <c r="L15"/>
      <c r="M15"/>
      <c r="N15"/>
    </row>
    <row r="16" spans="1:14" s="96" customFormat="1" x14ac:dyDescent="0.25">
      <c r="A16" s="157" t="s">
        <v>267</v>
      </c>
      <c r="B16" s="157" t="s">
        <v>268</v>
      </c>
      <c r="C16" s="159">
        <v>11</v>
      </c>
      <c r="D16" s="160">
        <f t="shared" si="1"/>
        <v>382.20338983050851</v>
      </c>
      <c r="E16" s="160">
        <v>451</v>
      </c>
      <c r="F16" s="161">
        <f t="shared" si="2"/>
        <v>4961</v>
      </c>
      <c r="G16" s="162">
        <f t="shared" si="0"/>
        <v>1.7451951530480072</v>
      </c>
      <c r="J16"/>
      <c r="K16"/>
      <c r="L16"/>
      <c r="M16"/>
      <c r="N16"/>
    </row>
    <row r="17" spans="1:14" s="96" customFormat="1" x14ac:dyDescent="0.25">
      <c r="A17" s="157" t="s">
        <v>269</v>
      </c>
      <c r="B17" s="157" t="s">
        <v>270</v>
      </c>
      <c r="C17" s="159">
        <v>6</v>
      </c>
      <c r="D17" s="160">
        <f t="shared" si="1"/>
        <v>483.05084745762713</v>
      </c>
      <c r="E17" s="160">
        <v>570</v>
      </c>
      <c r="F17" s="161">
        <f t="shared" si="2"/>
        <v>3420</v>
      </c>
      <c r="G17" s="162">
        <f t="shared" si="0"/>
        <v>1.2030976463261811</v>
      </c>
      <c r="J17"/>
      <c r="K17"/>
      <c r="L17"/>
      <c r="M17"/>
      <c r="N17"/>
    </row>
    <row r="18" spans="1:14" s="96" customFormat="1" x14ac:dyDescent="0.25">
      <c r="A18" s="157" t="s">
        <v>271</v>
      </c>
      <c r="B18" s="157" t="s">
        <v>272</v>
      </c>
      <c r="C18" s="159">
        <v>16</v>
      </c>
      <c r="D18" s="160">
        <f t="shared" si="1"/>
        <v>635.59322033898309</v>
      </c>
      <c r="E18" s="160">
        <v>750</v>
      </c>
      <c r="F18" s="161">
        <f t="shared" si="2"/>
        <v>12000</v>
      </c>
      <c r="G18" s="162">
        <f t="shared" si="0"/>
        <v>4.2213952502673022</v>
      </c>
      <c r="J18"/>
      <c r="K18"/>
      <c r="L18"/>
      <c r="M18"/>
      <c r="N18"/>
    </row>
    <row r="19" spans="1:14" s="96" customFormat="1" x14ac:dyDescent="0.25">
      <c r="A19" s="70"/>
      <c r="B19" s="436" t="s">
        <v>354</v>
      </c>
      <c r="C19" s="436">
        <v>1</v>
      </c>
      <c r="D19" s="485"/>
      <c r="E19" s="9">
        <f>C2/100</f>
        <v>2330.0508</v>
      </c>
      <c r="F19" s="60">
        <f>C19*E19</f>
        <v>2330.0508</v>
      </c>
      <c r="G19" s="61">
        <f>((F19*100)/$F$22)</f>
        <v>0.81967211500012727</v>
      </c>
      <c r="J19"/>
      <c r="K19"/>
      <c r="L19"/>
      <c r="M19"/>
      <c r="N19"/>
    </row>
    <row r="20" spans="1:14" s="96" customFormat="1" x14ac:dyDescent="0.25">
      <c r="A20"/>
      <c r="B20" s="436" t="s">
        <v>654</v>
      </c>
      <c r="C20" s="436">
        <v>1</v>
      </c>
      <c r="D20" s="485"/>
      <c r="E20" s="9">
        <f>C2/100</f>
        <v>2330.0508</v>
      </c>
      <c r="F20" s="60">
        <f>C20*E20</f>
        <v>2330.0508</v>
      </c>
      <c r="G20" s="61">
        <f t="shared" ref="G20:G21" si="3">((F20*100)/$F$22)</f>
        <v>0.81967211500012727</v>
      </c>
      <c r="J20"/>
      <c r="K20"/>
      <c r="L20"/>
      <c r="M20"/>
      <c r="N20"/>
    </row>
    <row r="21" spans="1:14" s="96" customFormat="1" x14ac:dyDescent="0.25">
      <c r="A21"/>
      <c r="B21" s="436" t="s">
        <v>355</v>
      </c>
      <c r="C21" s="436">
        <v>1</v>
      </c>
      <c r="D21" s="485"/>
      <c r="E21" s="9">
        <f>(C2*2)/100</f>
        <v>4660.1016</v>
      </c>
      <c r="F21" s="60">
        <f>C21*E21</f>
        <v>4660.1016</v>
      </c>
      <c r="G21" s="61">
        <f t="shared" si="3"/>
        <v>1.6393442300002545</v>
      </c>
      <c r="J21"/>
      <c r="K21"/>
      <c r="L21"/>
      <c r="M21"/>
      <c r="N21"/>
    </row>
    <row r="22" spans="1:14" s="96" customFormat="1" x14ac:dyDescent="0.25">
      <c r="A22"/>
      <c r="B22"/>
      <c r="C22"/>
      <c r="D22"/>
      <c r="E22"/>
      <c r="F22" s="11">
        <f>SUM(F5:F21)</f>
        <v>284266.20320000005</v>
      </c>
      <c r="G22" s="148">
        <f>SUM(G5:G21)</f>
        <v>100.00000000000001</v>
      </c>
      <c r="J22"/>
      <c r="K22"/>
      <c r="L22"/>
      <c r="M22"/>
      <c r="N22"/>
    </row>
    <row r="23" spans="1:14" s="96" customFormat="1" x14ac:dyDescent="0.25">
      <c r="A23"/>
      <c r="B23"/>
      <c r="C23"/>
      <c r="D23"/>
      <c r="E23"/>
      <c r="F23"/>
      <c r="G23"/>
      <c r="J23"/>
      <c r="K23"/>
      <c r="L23"/>
      <c r="M23"/>
      <c r="N23"/>
    </row>
    <row r="24" spans="1:14" s="96" customFormat="1" x14ac:dyDescent="0.25">
      <c r="A24" t="s">
        <v>9</v>
      </c>
      <c r="C24" s="1044" t="str">
        <f>Empresas!A56</f>
        <v>LAUSAN</v>
      </c>
      <c r="D24" s="1044"/>
      <c r="E24" s="1044"/>
      <c r="F24" s="1044"/>
      <c r="G24" s="1044" t="str">
        <f>Empresas!A57</f>
        <v>MUEBLES TINAS</v>
      </c>
      <c r="H24" s="1044"/>
      <c r="I24" s="1044"/>
      <c r="J24" s="1044"/>
      <c r="K24" s="1044" t="str">
        <f>Empresas!A59</f>
        <v>OFITA INTERIORES (JOCAFRI)</v>
      </c>
      <c r="L24" s="1044"/>
      <c r="M24" s="1044"/>
      <c r="N24" s="1044"/>
    </row>
    <row r="25" spans="1:14" x14ac:dyDescent="0.25">
      <c r="C25" s="1045" t="s">
        <v>14</v>
      </c>
      <c r="D25" s="1045"/>
      <c r="E25" s="1045"/>
      <c r="F25" s="1045"/>
      <c r="G25" s="1045" t="s">
        <v>14</v>
      </c>
      <c r="H25" s="1045"/>
      <c r="I25" s="1045"/>
      <c r="J25" s="1045"/>
      <c r="K25" s="1045" t="s">
        <v>14</v>
      </c>
      <c r="L25" s="1045"/>
      <c r="M25" s="1045"/>
      <c r="N25" s="1045"/>
    </row>
    <row r="26" spans="1:14" ht="39.6" x14ac:dyDescent="0.25">
      <c r="A26" s="28"/>
      <c r="B26" s="912" t="s">
        <v>10</v>
      </c>
      <c r="C26" s="903" t="s">
        <v>11</v>
      </c>
      <c r="D26" s="906" t="s">
        <v>12</v>
      </c>
      <c r="E26" s="903" t="s">
        <v>13</v>
      </c>
      <c r="F26" s="913" t="s">
        <v>190</v>
      </c>
      <c r="G26" s="903" t="s">
        <v>11</v>
      </c>
      <c r="H26" s="906" t="s">
        <v>12</v>
      </c>
      <c r="I26" s="903" t="s">
        <v>13</v>
      </c>
      <c r="J26" s="913" t="s">
        <v>190</v>
      </c>
      <c r="K26" s="903" t="s">
        <v>11</v>
      </c>
      <c r="L26" s="906" t="s">
        <v>12</v>
      </c>
      <c r="M26" s="903" t="s">
        <v>13</v>
      </c>
      <c r="N26" s="913" t="s">
        <v>190</v>
      </c>
    </row>
    <row r="27" spans="1:14" x14ac:dyDescent="0.25">
      <c r="A27" s="13" t="str">
        <f t="shared" ref="A27:B29" si="4">A5</f>
        <v xml:space="preserve">A0111  </v>
      </c>
      <c r="B27" s="13" t="str">
        <f t="shared" si="4"/>
        <v>MESA DE DESPACHO (200x80 cm)</v>
      </c>
      <c r="C27" s="24">
        <f>'Lote 3 - Items'!E$46</f>
        <v>46</v>
      </c>
      <c r="D27" s="25">
        <f>G5</f>
        <v>2.5152480032842677</v>
      </c>
      <c r="E27" s="25">
        <f t="shared" ref="E27:E36" si="5">(C27*D27)/100</f>
        <v>1.157014081510763</v>
      </c>
      <c r="F27" s="1046">
        <f>SUM(E27:E40)</f>
        <v>37.49208973851028</v>
      </c>
      <c r="G27" s="24">
        <f>'Lote 3 - Items'!G$46</f>
        <v>31</v>
      </c>
      <c r="H27" s="25">
        <f>G5</f>
        <v>2.5152480032842677</v>
      </c>
      <c r="I27" s="25">
        <f t="shared" ref="I27:I36" si="6">(G27*H27)/100</f>
        <v>0.77972688101812293</v>
      </c>
      <c r="J27" s="1046">
        <f>SUM(I27:I40)</f>
        <v>27.463595433141517</v>
      </c>
      <c r="K27" s="24">
        <f>'Lote 3 - Items'!I$46</f>
        <v>26</v>
      </c>
      <c r="L27" s="25">
        <f>G5</f>
        <v>2.5152480032842677</v>
      </c>
      <c r="M27" s="25">
        <f t="shared" ref="M27:M36" si="7">(K27*L27)/100</f>
        <v>0.65396448085390957</v>
      </c>
      <c r="N27" s="1046">
        <f>SUM(M27:M40)</f>
        <v>29.711822597699506</v>
      </c>
    </row>
    <row r="28" spans="1:14" x14ac:dyDescent="0.25">
      <c r="A28" s="13" t="str">
        <f t="shared" si="4"/>
        <v xml:space="preserve">A0112  </v>
      </c>
      <c r="B28" s="13" t="str">
        <f t="shared" si="4"/>
        <v>MESA DE DESPACHO (180x80 cm)</v>
      </c>
      <c r="C28" s="24">
        <f>'Lote 3 - Items'!E$46</f>
        <v>46</v>
      </c>
      <c r="D28" s="25">
        <f t="shared" ref="D28:D31" si="8">G6</f>
        <v>15.36587871097298</v>
      </c>
      <c r="E28" s="25">
        <f t="shared" si="5"/>
        <v>7.0683042070475715</v>
      </c>
      <c r="F28" s="1046"/>
      <c r="G28" s="24">
        <f>'Lote 3 - Items'!G$46</f>
        <v>31</v>
      </c>
      <c r="H28" s="25">
        <f t="shared" ref="H28:H40" si="9">G6</f>
        <v>15.36587871097298</v>
      </c>
      <c r="I28" s="25">
        <f t="shared" si="6"/>
        <v>4.7634224004016241</v>
      </c>
      <c r="J28" s="1046"/>
      <c r="K28" s="24">
        <f>'Lote 3 - Items'!I$46</f>
        <v>26</v>
      </c>
      <c r="L28" s="25">
        <f t="shared" ref="L28:L40" si="10">G6</f>
        <v>15.36587871097298</v>
      </c>
      <c r="M28" s="25">
        <f t="shared" si="7"/>
        <v>3.9951284648529746</v>
      </c>
      <c r="N28" s="1046"/>
    </row>
    <row r="29" spans="1:14" x14ac:dyDescent="0.25">
      <c r="A29" s="13" t="str">
        <f t="shared" si="4"/>
        <v>A0114</v>
      </c>
      <c r="B29" s="13" t="str">
        <f t="shared" si="4"/>
        <v>MESA DE DESPACHO (140x80 cm)</v>
      </c>
      <c r="C29" s="24">
        <f>'Lote 3 - Items'!E$46</f>
        <v>46</v>
      </c>
      <c r="D29" s="25">
        <f t="shared" si="8"/>
        <v>3.1660464377004769</v>
      </c>
      <c r="E29" s="25">
        <f t="shared" si="5"/>
        <v>1.4563813613422192</v>
      </c>
      <c r="F29" s="1046"/>
      <c r="G29" s="24">
        <f>'Lote 3 - Items'!G$46</f>
        <v>31</v>
      </c>
      <c r="H29" s="25">
        <f t="shared" si="9"/>
        <v>3.1660464377004769</v>
      </c>
      <c r="I29" s="25">
        <f t="shared" si="6"/>
        <v>0.98147439568714789</v>
      </c>
      <c r="J29" s="1046"/>
      <c r="K29" s="24">
        <f>'Lote 3 - Items'!I$46</f>
        <v>26</v>
      </c>
      <c r="L29" s="25">
        <f t="shared" si="10"/>
        <v>3.1660464377004769</v>
      </c>
      <c r="M29" s="25">
        <f t="shared" si="7"/>
        <v>0.82317207380212398</v>
      </c>
      <c r="N29" s="1046"/>
    </row>
    <row r="30" spans="1:14" x14ac:dyDescent="0.25">
      <c r="A30" s="13" t="str">
        <f t="shared" ref="A30:B40" si="11">A8</f>
        <v xml:space="preserve">A0116  </v>
      </c>
      <c r="B30" s="13" t="str">
        <f t="shared" si="11"/>
        <v xml:space="preserve">CAJONERA RODANTE CON TRES CAJONES  </v>
      </c>
      <c r="C30" s="24">
        <f>'Lote 3 - Items'!E$73</f>
        <v>40</v>
      </c>
      <c r="D30" s="25">
        <f t="shared" si="8"/>
        <v>6.3127448138372282</v>
      </c>
      <c r="E30" s="25">
        <f t="shared" si="5"/>
        <v>2.5250979255348911</v>
      </c>
      <c r="F30" s="1046"/>
      <c r="G30" s="24">
        <f>'Lote 3 - Items'!G$73</f>
        <v>29</v>
      </c>
      <c r="H30" s="25">
        <f t="shared" si="9"/>
        <v>6.3127448138372282</v>
      </c>
      <c r="I30" s="25">
        <f t="shared" si="6"/>
        <v>1.830695996012796</v>
      </c>
      <c r="J30" s="1046"/>
      <c r="K30" s="24">
        <f>'Lote 3 - Items'!I$73</f>
        <v>27</v>
      </c>
      <c r="L30" s="25">
        <f t="shared" si="10"/>
        <v>6.3127448138372282</v>
      </c>
      <c r="M30" s="25">
        <f t="shared" si="7"/>
        <v>1.7044410997360515</v>
      </c>
      <c r="N30" s="1046"/>
    </row>
    <row r="31" spans="1:14" x14ac:dyDescent="0.25">
      <c r="A31" s="13" t="str">
        <f t="shared" si="11"/>
        <v xml:space="preserve">A0117  </v>
      </c>
      <c r="B31" s="13" t="str">
        <f t="shared" si="11"/>
        <v xml:space="preserve">MESA AUXILIAR (90x50 cm)  </v>
      </c>
      <c r="C31" s="24">
        <f>'Lote 3 - Items'!E$46</f>
        <v>46</v>
      </c>
      <c r="D31" s="25">
        <f t="shared" si="8"/>
        <v>6.015488231630906</v>
      </c>
      <c r="E31" s="25">
        <f t="shared" si="5"/>
        <v>2.7671245865502168</v>
      </c>
      <c r="F31" s="1046"/>
      <c r="G31" s="24">
        <f>'Lote 3 - Items'!G$46</f>
        <v>31</v>
      </c>
      <c r="H31" s="25">
        <f t="shared" si="9"/>
        <v>6.015488231630906</v>
      </c>
      <c r="I31" s="25">
        <f t="shared" si="6"/>
        <v>1.8648013518055808</v>
      </c>
      <c r="J31" s="1046"/>
      <c r="K31" s="24">
        <f>'Lote 3 - Items'!I$46</f>
        <v>26</v>
      </c>
      <c r="L31" s="25">
        <f t="shared" si="10"/>
        <v>6.015488231630906</v>
      </c>
      <c r="M31" s="25">
        <f t="shared" si="7"/>
        <v>1.5640269402240354</v>
      </c>
      <c r="N31" s="1046"/>
    </row>
    <row r="32" spans="1:14" x14ac:dyDescent="0.25">
      <c r="A32" s="13" t="str">
        <f t="shared" si="11"/>
        <v xml:space="preserve">A0118  </v>
      </c>
      <c r="B32" s="13" t="str">
        <f t="shared" si="11"/>
        <v xml:space="preserve">ARMARIO ALTO CON PUERTAS BAJAS  </v>
      </c>
      <c r="C32" s="24">
        <f>'Lote 3 - Items'!E$116</f>
        <v>34</v>
      </c>
      <c r="D32" s="25">
        <f t="shared" ref="D32:D40" si="12">G10</f>
        <v>38.900157231213193</v>
      </c>
      <c r="E32" s="25">
        <f t="shared" si="5"/>
        <v>13.226053458612485</v>
      </c>
      <c r="F32" s="1046"/>
      <c r="G32" s="24">
        <f>'Lote 3 - Items'!G$116</f>
        <v>27</v>
      </c>
      <c r="H32" s="25">
        <f t="shared" si="9"/>
        <v>38.900157231213193</v>
      </c>
      <c r="I32" s="25">
        <f t="shared" si="6"/>
        <v>10.503042452427563</v>
      </c>
      <c r="J32" s="1046"/>
      <c r="K32" s="24">
        <f>'Lote 3 - Items'!I$116</f>
        <v>32</v>
      </c>
      <c r="L32" s="25">
        <f t="shared" si="10"/>
        <v>38.900157231213193</v>
      </c>
      <c r="M32" s="25">
        <f t="shared" si="7"/>
        <v>12.448050313988222</v>
      </c>
      <c r="N32" s="1046"/>
    </row>
    <row r="33" spans="1:14" x14ac:dyDescent="0.25">
      <c r="A33" s="13" t="str">
        <f t="shared" si="11"/>
        <v>C0101</v>
      </c>
      <c r="B33" s="13" t="str">
        <f t="shared" si="11"/>
        <v>MESA DE REUNIONES</v>
      </c>
      <c r="C33" s="24">
        <f>'Lote 3 - Items'!E$145</f>
        <v>41</v>
      </c>
      <c r="D33" s="25">
        <f t="shared" si="12"/>
        <v>3.7359347964865623</v>
      </c>
      <c r="E33" s="25">
        <f t="shared" si="5"/>
        <v>1.5317332665594907</v>
      </c>
      <c r="F33" s="1046"/>
      <c r="G33" s="24">
        <f>'Lote 3 - Items'!G$145</f>
        <v>28</v>
      </c>
      <c r="H33" s="25">
        <f t="shared" si="9"/>
        <v>3.7359347964865623</v>
      </c>
      <c r="I33" s="25">
        <f t="shared" si="6"/>
        <v>1.0460617430162376</v>
      </c>
      <c r="J33" s="1046"/>
      <c r="K33" s="24">
        <f>'Lote 3 - Items'!I$145</f>
        <v>37</v>
      </c>
      <c r="L33" s="25">
        <f t="shared" si="10"/>
        <v>3.7359347964865623</v>
      </c>
      <c r="M33" s="25">
        <f t="shared" si="7"/>
        <v>1.382295874700028</v>
      </c>
      <c r="N33" s="1046"/>
    </row>
    <row r="34" spans="1:14" x14ac:dyDescent="0.25">
      <c r="A34" s="13" t="str">
        <f t="shared" si="11"/>
        <v>C0103</v>
      </c>
      <c r="B34" s="13" t="str">
        <f t="shared" si="11"/>
        <v>MESA DE REUNIONES GRANDE</v>
      </c>
      <c r="C34" s="24">
        <f>'Lote 3 - Items'!E$145</f>
        <v>41</v>
      </c>
      <c r="D34" s="25">
        <f t="shared" si="12"/>
        <v>6.3320928754009538</v>
      </c>
      <c r="E34" s="25">
        <f t="shared" si="5"/>
        <v>2.596158078914391</v>
      </c>
      <c r="F34" s="1046"/>
      <c r="G34" s="24">
        <f>'Lote 3 - Items'!G$145</f>
        <v>28</v>
      </c>
      <c r="H34" s="25">
        <f t="shared" si="9"/>
        <v>6.3320928754009538</v>
      </c>
      <c r="I34" s="25">
        <f t="shared" si="6"/>
        <v>1.772986005112267</v>
      </c>
      <c r="J34" s="1046"/>
      <c r="K34" s="24">
        <f>'Lote 3 - Items'!I$145</f>
        <v>37</v>
      </c>
      <c r="L34" s="25">
        <f t="shared" si="10"/>
        <v>6.3320928754009538</v>
      </c>
      <c r="M34" s="25">
        <f t="shared" si="7"/>
        <v>2.3428743638983529</v>
      </c>
      <c r="N34" s="1046"/>
    </row>
    <row r="35" spans="1:14" x14ac:dyDescent="0.25">
      <c r="A35" s="13" t="str">
        <f t="shared" si="11"/>
        <v>C0201</v>
      </c>
      <c r="B35" s="13" t="str">
        <f t="shared" si="11"/>
        <v>MESA REDONDA DE REUNIONES</v>
      </c>
      <c r="C35" s="24">
        <f>'Lote 3 - Items'!E$145</f>
        <v>41</v>
      </c>
      <c r="D35" s="25">
        <f t="shared" si="12"/>
        <v>3.939968900249482</v>
      </c>
      <c r="E35" s="25">
        <f t="shared" si="5"/>
        <v>1.6153872491022876</v>
      </c>
      <c r="F35" s="1046"/>
      <c r="G35" s="24">
        <f>'Lote 3 - Items'!G$145</f>
        <v>28</v>
      </c>
      <c r="H35" s="25">
        <f t="shared" si="9"/>
        <v>3.939968900249482</v>
      </c>
      <c r="I35" s="25">
        <f t="shared" si="6"/>
        <v>1.103191292069855</v>
      </c>
      <c r="J35" s="1046"/>
      <c r="K35" s="24">
        <f>'Lote 3 - Items'!I$145</f>
        <v>37</v>
      </c>
      <c r="L35" s="25">
        <f t="shared" si="10"/>
        <v>3.939968900249482</v>
      </c>
      <c r="M35" s="25">
        <f t="shared" si="7"/>
        <v>1.4577884930923082</v>
      </c>
      <c r="N35" s="1046"/>
    </row>
    <row r="36" spans="1:14" x14ac:dyDescent="0.25">
      <c r="A36" s="13" t="str">
        <f t="shared" si="11"/>
        <v>E0304</v>
      </c>
      <c r="B36" s="13" t="str">
        <f t="shared" si="11"/>
        <v>ARMARIO CASILLERO (25 HUECOS)</v>
      </c>
      <c r="C36" s="24">
        <f>'Lote 3 - Items'!E$116</f>
        <v>34</v>
      </c>
      <c r="D36" s="25">
        <f t="shared" si="12"/>
        <v>0.59803099378786784</v>
      </c>
      <c r="E36" s="25">
        <f t="shared" si="5"/>
        <v>0.20333053788787506</v>
      </c>
      <c r="F36" s="1046"/>
      <c r="G36" s="24">
        <f>'Lote 3 - Items'!G$116</f>
        <v>27</v>
      </c>
      <c r="H36" s="25">
        <f t="shared" si="9"/>
        <v>0.59803099378786784</v>
      </c>
      <c r="I36" s="25">
        <f t="shared" si="6"/>
        <v>0.16146836832272432</v>
      </c>
      <c r="J36" s="1046"/>
      <c r="K36" s="24">
        <f>'Lote 3 - Items'!I$116</f>
        <v>32</v>
      </c>
      <c r="L36" s="25">
        <f t="shared" si="10"/>
        <v>0.59803099378786784</v>
      </c>
      <c r="M36" s="25">
        <f t="shared" si="7"/>
        <v>0.1913699180121177</v>
      </c>
      <c r="N36" s="1046"/>
    </row>
    <row r="37" spans="1:14" x14ac:dyDescent="0.25">
      <c r="A37" s="13" t="str">
        <f t="shared" si="11"/>
        <v>P0201</v>
      </c>
      <c r="B37" s="13" t="str">
        <f t="shared" si="11"/>
        <v>ARMARIO ALTO  VITRINA  PUERTAS BAJAS</v>
      </c>
      <c r="C37" s="24">
        <f>'Lote 3 - Items'!E$116</f>
        <v>34</v>
      </c>
      <c r="D37" s="25">
        <f t="shared" si="12"/>
        <v>2.6700324957940689</v>
      </c>
      <c r="E37" s="25">
        <f>(C37*D37)/100</f>
        <v>0.9078110485699834</v>
      </c>
      <c r="F37" s="1046"/>
      <c r="G37" s="24">
        <f>'Lote 3 - Items'!G$116</f>
        <v>27</v>
      </c>
      <c r="H37" s="25">
        <f t="shared" si="9"/>
        <v>2.6700324957940689</v>
      </c>
      <c r="I37" s="25">
        <f>(G37*H37)/100</f>
        <v>0.72090877386439856</v>
      </c>
      <c r="J37" s="1046"/>
      <c r="K37" s="24">
        <f>'Lote 3 - Items'!I$116</f>
        <v>32</v>
      </c>
      <c r="L37" s="25">
        <f t="shared" si="10"/>
        <v>2.6700324957940689</v>
      </c>
      <c r="M37" s="25">
        <f>(K37*L37)/100</f>
        <v>0.85441039865410207</v>
      </c>
      <c r="N37" s="1046"/>
    </row>
    <row r="38" spans="1:14" x14ac:dyDescent="0.25">
      <c r="A38" s="13" t="str">
        <f t="shared" si="11"/>
        <v>P0203</v>
      </c>
      <c r="B38" s="13" t="str">
        <f t="shared" si="11"/>
        <v>ARMARIO MEDIANO  VITRINA  PUERTAS BAJAS 160X90X40</v>
      </c>
      <c r="C38" s="24">
        <f>'Lote 3 - Items'!E$116</f>
        <v>34</v>
      </c>
      <c r="D38" s="25">
        <f t="shared" si="12"/>
        <v>1.7451951530480072</v>
      </c>
      <c r="E38" s="25">
        <f>(C38*D38)/100</f>
        <v>0.59336635203632249</v>
      </c>
      <c r="F38" s="1046"/>
      <c r="G38" s="24">
        <f>'Lote 3 - Items'!G$116</f>
        <v>27</v>
      </c>
      <c r="H38" s="25">
        <f t="shared" si="9"/>
        <v>1.7451951530480072</v>
      </c>
      <c r="I38" s="25">
        <f>(G38*H38)/100</f>
        <v>0.47120269132296194</v>
      </c>
      <c r="J38" s="1046"/>
      <c r="K38" s="24">
        <f>'Lote 3 - Items'!I$116</f>
        <v>32</v>
      </c>
      <c r="L38" s="25">
        <f t="shared" si="10"/>
        <v>1.7451951530480072</v>
      </c>
      <c r="M38" s="25">
        <f>(K38*L38)/100</f>
        <v>0.55846244897536235</v>
      </c>
      <c r="N38" s="1046"/>
    </row>
    <row r="39" spans="1:14" x14ac:dyDescent="0.25">
      <c r="A39" s="13" t="str">
        <f t="shared" si="11"/>
        <v>P0210</v>
      </c>
      <c r="B39" s="13" t="str">
        <f t="shared" si="11"/>
        <v>ARMARIO BAJO CON PUERTAS</v>
      </c>
      <c r="C39" s="24">
        <f>'Lote 3 - Items'!E$116</f>
        <v>34</v>
      </c>
      <c r="D39" s="25">
        <f t="shared" si="12"/>
        <v>1.2030976463261811</v>
      </c>
      <c r="E39" s="25">
        <f>(C39*D39)/100</f>
        <v>0.4090531997509016</v>
      </c>
      <c r="F39" s="1046"/>
      <c r="G39" s="24">
        <f>'Lote 3 - Items'!G$116</f>
        <v>27</v>
      </c>
      <c r="H39" s="25">
        <f t="shared" si="9"/>
        <v>1.2030976463261811</v>
      </c>
      <c r="I39" s="25">
        <f>(G39*H39)/100</f>
        <v>0.32483636450806891</v>
      </c>
      <c r="J39" s="1046"/>
      <c r="K39" s="24">
        <f>'Lote 3 - Items'!I$116</f>
        <v>32</v>
      </c>
      <c r="L39" s="25">
        <f t="shared" si="10"/>
        <v>1.2030976463261811</v>
      </c>
      <c r="M39" s="25">
        <f>(K39*L39)/100</f>
        <v>0.38499124682437796</v>
      </c>
      <c r="N39" s="1046"/>
    </row>
    <row r="40" spans="1:14" x14ac:dyDescent="0.25">
      <c r="A40" s="13" t="str">
        <f t="shared" si="11"/>
        <v>P0211</v>
      </c>
      <c r="B40" s="13" t="str">
        <f t="shared" si="11"/>
        <v>ARMARIO BAJO CON GAVETAS</v>
      </c>
      <c r="C40" s="24">
        <f>'Lote 3 - Items'!E$116</f>
        <v>34</v>
      </c>
      <c r="D40" s="25">
        <f t="shared" si="12"/>
        <v>4.2213952502673022</v>
      </c>
      <c r="E40" s="25">
        <f>(C40*D40)/100</f>
        <v>1.4352743850908829</v>
      </c>
      <c r="F40" s="1046"/>
      <c r="G40" s="24">
        <f>'Lote 3 - Items'!G$116</f>
        <v>27</v>
      </c>
      <c r="H40" s="25">
        <f t="shared" si="9"/>
        <v>4.2213952502673022</v>
      </c>
      <c r="I40" s="25">
        <f>(G40*H40)/100</f>
        <v>1.1397767175721716</v>
      </c>
      <c r="J40" s="1046"/>
      <c r="K40" s="24">
        <f>'Lote 3 - Items'!I$116</f>
        <v>32</v>
      </c>
      <c r="L40" s="25">
        <f t="shared" si="10"/>
        <v>4.2213952502673022</v>
      </c>
      <c r="M40" s="25">
        <f>(K40*L40)/100</f>
        <v>1.3508464800855366</v>
      </c>
      <c r="N40" s="1046"/>
    </row>
    <row r="41" spans="1:14" x14ac:dyDescent="0.25">
      <c r="C41"/>
      <c r="D41"/>
    </row>
    <row r="46" spans="1:14" x14ac:dyDescent="0.25">
      <c r="C46" s="1013" t="s">
        <v>664</v>
      </c>
      <c r="D46" s="1014"/>
      <c r="E46" s="1014"/>
      <c r="F46" s="1014"/>
      <c r="G46" s="1014"/>
      <c r="H46" s="1014"/>
      <c r="I46" s="1014"/>
      <c r="J46" s="1014"/>
      <c r="K46" s="1015"/>
      <c r="L46" s="974" t="s">
        <v>665</v>
      </c>
      <c r="M46" s="974" t="s">
        <v>660</v>
      </c>
    </row>
    <row r="47" spans="1:14" x14ac:dyDescent="0.25">
      <c r="C47" s="1016"/>
      <c r="D47" s="1017"/>
      <c r="E47" s="1017"/>
      <c r="F47" s="1017"/>
      <c r="G47" s="1017"/>
      <c r="H47" s="1017"/>
      <c r="I47" s="1017"/>
      <c r="J47" s="1017"/>
      <c r="K47" s="1018"/>
      <c r="L47" s="1022"/>
      <c r="M47" s="1022"/>
    </row>
    <row r="48" spans="1:14" x14ac:dyDescent="0.25">
      <c r="C48" s="1019"/>
      <c r="D48" s="1020"/>
      <c r="E48" s="1020"/>
      <c r="F48" s="1020"/>
      <c r="G48" s="1020"/>
      <c r="H48" s="1020"/>
      <c r="I48" s="1020"/>
      <c r="J48" s="1020"/>
      <c r="K48" s="1021"/>
      <c r="L48" s="975"/>
      <c r="M48" s="1022"/>
      <c r="N48" s="965" t="s">
        <v>20</v>
      </c>
    </row>
    <row r="49" spans="2:14" ht="66" x14ac:dyDescent="0.25">
      <c r="B49" s="904" t="s">
        <v>252</v>
      </c>
      <c r="C49" s="907" t="s">
        <v>663</v>
      </c>
      <c r="D49" s="906" t="s">
        <v>12</v>
      </c>
      <c r="E49" s="903" t="s">
        <v>13</v>
      </c>
      <c r="F49" s="907" t="s">
        <v>662</v>
      </c>
      <c r="G49" s="906" t="s">
        <v>12</v>
      </c>
      <c r="H49" s="903" t="s">
        <v>13</v>
      </c>
      <c r="I49" s="907" t="s">
        <v>661</v>
      </c>
      <c r="J49" s="906" t="s">
        <v>12</v>
      </c>
      <c r="K49" s="903" t="s">
        <v>13</v>
      </c>
      <c r="L49" s="907" t="s">
        <v>19</v>
      </c>
      <c r="M49" s="975"/>
      <c r="N49" s="966"/>
    </row>
    <row r="50" spans="2:14" x14ac:dyDescent="0.25">
      <c r="B50" s="908" t="str">
        <f>Empresas!A56</f>
        <v>LAUSAN</v>
      </c>
      <c r="C50" s="909">
        <v>72</v>
      </c>
      <c r="D50" s="901">
        <f>G19</f>
        <v>0.81967211500012727</v>
      </c>
      <c r="E50" s="910">
        <f>$C$53*$C$54/C50</f>
        <v>0.36885245175005726</v>
      </c>
      <c r="F50" s="909">
        <v>45</v>
      </c>
      <c r="G50" s="901">
        <f>G$20</f>
        <v>0.81967211500012727</v>
      </c>
      <c r="H50" s="910">
        <f>$F$53*$F$54/F50</f>
        <v>0.17213114415002673</v>
      </c>
      <c r="I50" s="909">
        <v>72</v>
      </c>
      <c r="J50" s="901">
        <f>G$21</f>
        <v>1.6393442300002545</v>
      </c>
      <c r="K50" s="910">
        <f>$I$53*$I$54/I50</f>
        <v>0.16393442300002545</v>
      </c>
      <c r="L50" s="911">
        <f>F27</f>
        <v>37.49208973851028</v>
      </c>
      <c r="M50" s="497">
        <f>E50+H50+K50+L50</f>
        <v>38.19700775741039</v>
      </c>
      <c r="N50" s="483">
        <f>RANK(M50,M$43:M$52,0)</f>
        <v>1</v>
      </c>
    </row>
    <row r="51" spans="2:14" x14ac:dyDescent="0.25">
      <c r="B51" s="908" t="str">
        <f>Empresas!A57</f>
        <v>MUEBLES TINAS</v>
      </c>
      <c r="C51" s="909">
        <v>240</v>
      </c>
      <c r="D51" s="901">
        <f>G19</f>
        <v>0.81967211500012727</v>
      </c>
      <c r="E51" s="910">
        <f t="shared" ref="E51:E52" si="13">$C$53*$C$54/C51</f>
        <v>0.11065573552501719</v>
      </c>
      <c r="F51" s="909">
        <v>40</v>
      </c>
      <c r="G51" s="901">
        <f t="shared" ref="G51:G52" si="14">G$20</f>
        <v>0.81967211500012727</v>
      </c>
      <c r="H51" s="910">
        <f t="shared" ref="H51:H52" si="15">$F$53*$F$54/F51</f>
        <v>0.19364753716878008</v>
      </c>
      <c r="I51" s="909">
        <v>16</v>
      </c>
      <c r="J51" s="901">
        <f t="shared" ref="J51:J52" si="16">G$21</f>
        <v>1.6393442300002545</v>
      </c>
      <c r="K51" s="910">
        <f t="shared" ref="K51:K52" si="17">$I$53*$I$54/I51</f>
        <v>0.73770490350011453</v>
      </c>
      <c r="L51" s="911">
        <f>J27</f>
        <v>27.463595433141517</v>
      </c>
      <c r="M51" s="497">
        <f t="shared" ref="M51:M52" si="18">E51+H51+K51+L51</f>
        <v>28.505603609335427</v>
      </c>
      <c r="N51" s="483">
        <f>RANK(M51,M$43:M$52,0)</f>
        <v>3</v>
      </c>
    </row>
    <row r="52" spans="2:14" x14ac:dyDescent="0.25">
      <c r="B52" s="908" t="str">
        <f>Empresas!A59</f>
        <v>OFITA INTERIORES (JOCAFRI)</v>
      </c>
      <c r="C52" s="909">
        <f>7*24</f>
        <v>168</v>
      </c>
      <c r="D52" s="901">
        <f>G19</f>
        <v>0.81967211500012727</v>
      </c>
      <c r="E52" s="910">
        <f t="shared" si="13"/>
        <v>0.15807962217859597</v>
      </c>
      <c r="F52" s="909">
        <v>21</v>
      </c>
      <c r="G52" s="901">
        <f t="shared" si="14"/>
        <v>0.81967211500012727</v>
      </c>
      <c r="H52" s="910">
        <f t="shared" si="15"/>
        <v>0.36885245175005726</v>
      </c>
      <c r="I52" s="909">
        <v>48</v>
      </c>
      <c r="J52" s="901">
        <f t="shared" si="16"/>
        <v>1.6393442300002545</v>
      </c>
      <c r="K52" s="910">
        <f t="shared" si="17"/>
        <v>0.24590163450003819</v>
      </c>
      <c r="L52" s="911">
        <f>N27</f>
        <v>29.711822597699506</v>
      </c>
      <c r="M52" s="497">
        <f t="shared" si="18"/>
        <v>30.484656306128198</v>
      </c>
      <c r="N52" s="483">
        <f>RANK(M52,M$43:M$52,0)</f>
        <v>2</v>
      </c>
    </row>
    <row r="53" spans="2:14" x14ac:dyDescent="0.25">
      <c r="B53" s="925" t="s">
        <v>1128</v>
      </c>
      <c r="C53" s="448">
        <f>MIN(C50:C52)</f>
        <v>72</v>
      </c>
      <c r="D53" s="923"/>
      <c r="E53" s="924"/>
      <c r="F53" s="448">
        <f>MIN(F50:F52)</f>
        <v>21</v>
      </c>
      <c r="G53" s="923"/>
      <c r="H53" s="924"/>
      <c r="I53" s="448">
        <f>MIN(I50:I52)</f>
        <v>16</v>
      </c>
      <c r="J53" s="923"/>
      <c r="K53" s="924"/>
    </row>
    <row r="54" spans="2:14" x14ac:dyDescent="0.25">
      <c r="B54" s="13" t="s">
        <v>1127</v>
      </c>
      <c r="C54" s="1023">
        <f>G19*I2/100</f>
        <v>0.36885245175005726</v>
      </c>
      <c r="D54" s="1024"/>
      <c r="E54" s="1025"/>
      <c r="F54" s="1026">
        <f>G20*I2/100</f>
        <v>0.36885245175005726</v>
      </c>
      <c r="G54" s="1027"/>
      <c r="H54" s="1028"/>
      <c r="I54" s="1026">
        <f>G21*I2/100</f>
        <v>0.73770490350011453</v>
      </c>
      <c r="J54" s="1027"/>
      <c r="K54" s="1028"/>
    </row>
  </sheetData>
  <mergeCells count="17">
    <mergeCell ref="M46:M49"/>
    <mergeCell ref="N48:N49"/>
    <mergeCell ref="C2:D2"/>
    <mergeCell ref="K24:N24"/>
    <mergeCell ref="K25:N25"/>
    <mergeCell ref="F27:F40"/>
    <mergeCell ref="J27:J40"/>
    <mergeCell ref="N27:N40"/>
    <mergeCell ref="C25:F25"/>
    <mergeCell ref="C24:F24"/>
    <mergeCell ref="G24:J24"/>
    <mergeCell ref="G25:J25"/>
    <mergeCell ref="C54:E54"/>
    <mergeCell ref="F54:H54"/>
    <mergeCell ref="I54:K54"/>
    <mergeCell ref="C46:K48"/>
    <mergeCell ref="L46:L48"/>
  </mergeCells>
  <phoneticPr fontId="33" type="noConversion"/>
  <conditionalFormatting sqref="N53">
    <cfRule type="cellIs" dxfId="13" priority="3" operator="greaterThan">
      <formula>30</formula>
    </cfRule>
  </conditionalFormatting>
  <conditionalFormatting sqref="M50:M52">
    <cfRule type="cellIs" dxfId="12" priority="2" operator="greaterThan">
      <formula>30</formula>
    </cfRule>
  </conditionalFormatting>
  <conditionalFormatting sqref="N50:N52">
    <cfRule type="cellIs" dxfId="11" priority="1" operator="equal">
      <formula>1</formula>
    </cfRule>
  </conditionalFormatting>
  <printOptions horizontalCentered="1"/>
  <pageMargins left="0.31496062992125984" right="0.27559055118110237" top="0.98" bottom="0.15748031496062992" header="0.15748031496062992" footer="0"/>
  <pageSetup paperSize="9" scale="66" orientation="landscape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opLeftCell="A20" zoomScaleSheetLayoutView="115" workbookViewId="0">
      <selection activeCell="A47" sqref="A47"/>
    </sheetView>
  </sheetViews>
  <sheetFormatPr baseColWidth="10" defaultColWidth="11.44140625" defaultRowHeight="13.2" x14ac:dyDescent="0.25"/>
  <cols>
    <col min="1" max="1" width="46.5546875" style="101" customWidth="1"/>
    <col min="2" max="2" width="61.88671875" style="101" customWidth="1"/>
    <col min="3" max="3" width="5.6640625" style="108" customWidth="1"/>
    <col min="4" max="4" width="8.6640625" style="108" customWidth="1"/>
    <col min="5" max="5" width="9.109375" style="108" customWidth="1"/>
    <col min="6" max="6" width="7.5546875" style="108" customWidth="1"/>
    <col min="7" max="7" width="12.6640625" style="108" customWidth="1"/>
    <col min="8" max="8" width="11" style="108" customWidth="1"/>
    <col min="9" max="9" width="8.109375" style="101" customWidth="1"/>
    <col min="10" max="10" width="12.44140625" style="101" customWidth="1"/>
    <col min="11" max="11" width="11.6640625" style="101" customWidth="1"/>
    <col min="12" max="12" width="11.109375" style="101" customWidth="1"/>
    <col min="13" max="13" width="14.33203125" style="101" bestFit="1" customWidth="1"/>
    <col min="14" max="16384" width="11.44140625" style="101"/>
  </cols>
  <sheetData>
    <row r="1" spans="1:11" x14ac:dyDescent="0.25">
      <c r="A1" s="16" t="str">
        <f>Empresas!A1</f>
        <v>EXPEDIENTE Nº 495/11</v>
      </c>
      <c r="B1" s="16"/>
      <c r="C1" s="194"/>
      <c r="D1" s="194"/>
      <c r="E1" s="194"/>
      <c r="F1" s="194"/>
      <c r="G1" s="16"/>
      <c r="H1" s="16"/>
      <c r="I1" s="16"/>
      <c r="J1" s="16"/>
      <c r="K1" s="16"/>
    </row>
    <row r="2" spans="1:11" ht="13.8" thickBot="1" x14ac:dyDescent="0.3">
      <c r="A2" s="16" t="str">
        <f>Empresas!A2</f>
        <v>SUMINISTRO  E INSTALACIÓN DE DIVERSO EQUIPAMIENTO PARA EL EDIFICIO DE GOBIERNO</v>
      </c>
      <c r="B2" s="17"/>
      <c r="C2" s="195"/>
      <c r="D2" s="195"/>
      <c r="E2" s="195"/>
      <c r="F2" s="195"/>
      <c r="G2" s="17"/>
      <c r="H2" s="101"/>
      <c r="I2" s="16"/>
      <c r="J2" s="16"/>
      <c r="K2" s="16"/>
    </row>
    <row r="3" spans="1:11" x14ac:dyDescent="0.25">
      <c r="A3" s="4"/>
      <c r="B3" s="4"/>
      <c r="C3" s="196"/>
      <c r="D3" s="196"/>
      <c r="E3" s="196"/>
      <c r="F3" s="196"/>
      <c r="G3" s="4"/>
      <c r="H3" s="4"/>
      <c r="I3" s="16"/>
      <c r="J3" s="16"/>
      <c r="K3" s="16"/>
    </row>
    <row r="4" spans="1:11" x14ac:dyDescent="0.25">
      <c r="A4" s="78"/>
      <c r="B4" s="79"/>
      <c r="C4" s="197"/>
      <c r="D4" s="197"/>
      <c r="E4" s="197"/>
      <c r="F4" s="197"/>
      <c r="G4" s="79"/>
      <c r="H4" s="79"/>
      <c r="I4" s="4"/>
      <c r="J4" s="4"/>
      <c r="K4" s="4"/>
    </row>
    <row r="5" spans="1:11" x14ac:dyDescent="0.25">
      <c r="A5" s="16" t="str">
        <f>Empresas!A50</f>
        <v>LOTE 3: MOBILIARIO DE DESPACHOS</v>
      </c>
      <c r="B5" s="81">
        <f>Empresas!F50</f>
        <v>233005.08</v>
      </c>
      <c r="D5" s="354" t="s">
        <v>1</v>
      </c>
      <c r="E5" s="1">
        <v>45</v>
      </c>
      <c r="F5" s="194"/>
      <c r="J5" s="1"/>
      <c r="K5" s="1"/>
    </row>
    <row r="6" spans="1:11" x14ac:dyDescent="0.25">
      <c r="A6" s="3"/>
      <c r="B6" s="3"/>
      <c r="C6" s="194"/>
      <c r="D6" s="194"/>
      <c r="E6" s="194"/>
      <c r="F6" s="194"/>
      <c r="G6" s="3"/>
      <c r="H6" s="4"/>
      <c r="I6" s="5"/>
      <c r="J6" s="5"/>
      <c r="K6" s="5"/>
    </row>
    <row r="7" spans="1:11" ht="31.5" customHeight="1" x14ac:dyDescent="0.25">
      <c r="A7"/>
      <c r="B7"/>
      <c r="C7" s="27"/>
      <c r="D7" s="1035" t="str">
        <f>Empresas!$A$56</f>
        <v>LAUSAN</v>
      </c>
      <c r="E7" s="1036"/>
      <c r="F7" s="1035" t="str">
        <f>Empresas!$A$57</f>
        <v>MUEBLES TINAS</v>
      </c>
      <c r="G7" s="1036"/>
      <c r="H7" s="1035" t="str">
        <f>Empresas!$A$59</f>
        <v>OFITA INTERIORES (JOCAFRI)</v>
      </c>
      <c r="I7" s="1036"/>
    </row>
    <row r="8" spans="1:11" x14ac:dyDescent="0.25">
      <c r="A8" s="177" t="s">
        <v>326</v>
      </c>
      <c r="B8" s="64"/>
      <c r="C8" s="65"/>
      <c r="D8" s="65"/>
      <c r="E8" s="65"/>
      <c r="F8" s="65"/>
      <c r="G8" s="65"/>
      <c r="H8" s="64"/>
      <c r="I8" s="65"/>
    </row>
    <row r="9" spans="1:11" x14ac:dyDescent="0.25">
      <c r="A9" s="177" t="s">
        <v>327</v>
      </c>
      <c r="B9" s="64"/>
      <c r="C9" s="65"/>
      <c r="D9" s="65"/>
      <c r="E9" s="65"/>
      <c r="F9" s="65"/>
      <c r="G9" s="65"/>
      <c r="H9" s="64"/>
      <c r="I9" s="65"/>
    </row>
    <row r="10" spans="1:11" x14ac:dyDescent="0.25">
      <c r="A10" s="177" t="s">
        <v>328</v>
      </c>
      <c r="B10" s="64"/>
      <c r="C10" s="65"/>
      <c r="D10" s="65"/>
      <c r="E10" s="65"/>
      <c r="F10" s="65"/>
      <c r="G10" s="65"/>
      <c r="H10" s="64"/>
      <c r="I10" s="65"/>
    </row>
    <row r="11" spans="1:11" x14ac:dyDescent="0.25">
      <c r="A11" s="177" t="s">
        <v>329</v>
      </c>
      <c r="B11" s="64"/>
      <c r="C11" s="65"/>
      <c r="D11" s="65"/>
      <c r="E11" s="65"/>
      <c r="F11" s="65"/>
      <c r="G11" s="188"/>
      <c r="H11" s="64"/>
      <c r="I11" s="188"/>
    </row>
    <row r="12" spans="1:11" x14ac:dyDescent="0.25">
      <c r="A12" s="121" t="s">
        <v>146</v>
      </c>
      <c r="B12" s="201" t="s">
        <v>676</v>
      </c>
      <c r="C12" s="116">
        <v>4</v>
      </c>
      <c r="D12" s="976">
        <v>60</v>
      </c>
      <c r="E12" s="1029">
        <f>IF(D12 &gt;79.9,$C12,IF(D12&gt;59.9,$C13,IF(D12&gt;0,$C14,)))</f>
        <v>3</v>
      </c>
      <c r="F12" s="976">
        <v>50</v>
      </c>
      <c r="G12" s="1029">
        <f>IF(F12 &gt;79.9,$C12,IF(F12&gt;59.9,$C13,IF(F12&gt;0,$C14,)))</f>
        <v>1</v>
      </c>
      <c r="H12" s="976">
        <v>50</v>
      </c>
      <c r="I12" s="1029">
        <f>IF(H12 &gt;79.9,$C12,IF(H12&gt;59.9,$C13,IF(H12&gt;0,$C14,)))</f>
        <v>1</v>
      </c>
    </row>
    <row r="13" spans="1:11" ht="13.8" x14ac:dyDescent="0.3">
      <c r="A13" s="143">
        <v>4</v>
      </c>
      <c r="B13" s="201" t="s">
        <v>675</v>
      </c>
      <c r="C13" s="116">
        <v>3</v>
      </c>
      <c r="D13" s="977"/>
      <c r="E13" s="1030"/>
      <c r="F13" s="977" t="s">
        <v>108</v>
      </c>
      <c r="G13" s="1030"/>
      <c r="H13" s="977"/>
      <c r="I13" s="1030"/>
    </row>
    <row r="14" spans="1:11" ht="13.8" x14ac:dyDescent="0.3">
      <c r="A14" s="144"/>
      <c r="B14" s="201" t="s">
        <v>677</v>
      </c>
      <c r="C14" s="116">
        <v>1</v>
      </c>
      <c r="D14" s="978"/>
      <c r="E14" s="1033"/>
      <c r="F14" s="978"/>
      <c r="G14" s="1033"/>
      <c r="H14" s="978"/>
      <c r="I14" s="1033"/>
    </row>
    <row r="15" spans="1:11" x14ac:dyDescent="0.25">
      <c r="A15" s="106" t="s">
        <v>147</v>
      </c>
      <c r="B15" s="75" t="s">
        <v>148</v>
      </c>
      <c r="C15" s="76">
        <f>A16</f>
        <v>4</v>
      </c>
      <c r="D15" s="114" t="s">
        <v>108</v>
      </c>
      <c r="E15" s="979">
        <f>IF(D15="S",$C15,IF(D16="S",$C16,IF(D17="S",$C17,)))</f>
        <v>4</v>
      </c>
      <c r="F15" s="480"/>
      <c r="G15" s="979">
        <f>IF(F15="S",$C15,IF(F16="S",$C16,IF(F17="S",$C17,)))</f>
        <v>2</v>
      </c>
      <c r="H15" s="290"/>
      <c r="I15" s="979">
        <f>IF(H15="S",$C15,IF(H16="S",$C16,IF(H17="S",$C17,)))</f>
        <v>2</v>
      </c>
    </row>
    <row r="16" spans="1:11" x14ac:dyDescent="0.25">
      <c r="A16" s="249">
        <v>4</v>
      </c>
      <c r="B16" s="75" t="s">
        <v>127</v>
      </c>
      <c r="C16" s="76">
        <v>2</v>
      </c>
      <c r="D16" s="76"/>
      <c r="E16" s="980"/>
      <c r="F16" s="366" t="s">
        <v>108</v>
      </c>
      <c r="G16" s="980"/>
      <c r="H16" s="366" t="s">
        <v>108</v>
      </c>
      <c r="I16" s="980"/>
    </row>
    <row r="17" spans="1:9" x14ac:dyDescent="0.25">
      <c r="A17" s="250"/>
      <c r="B17" s="75" t="s">
        <v>101</v>
      </c>
      <c r="C17" s="76">
        <v>1</v>
      </c>
      <c r="D17" s="76"/>
      <c r="E17" s="981"/>
      <c r="F17" s="480"/>
      <c r="G17" s="981"/>
      <c r="H17" s="290"/>
      <c r="I17" s="981"/>
    </row>
    <row r="18" spans="1:9" x14ac:dyDescent="0.25">
      <c r="A18" s="246" t="s">
        <v>149</v>
      </c>
      <c r="B18" s="245" t="s">
        <v>150</v>
      </c>
      <c r="C18" s="182">
        <v>4</v>
      </c>
      <c r="D18" s="355" t="s">
        <v>108</v>
      </c>
      <c r="E18" s="314">
        <f>IF(D18="S",$C18,)</f>
        <v>4</v>
      </c>
      <c r="F18" s="355" t="s">
        <v>108</v>
      </c>
      <c r="G18" s="314">
        <f>IF(F18="S",$C18,)</f>
        <v>4</v>
      </c>
      <c r="H18" s="355" t="s">
        <v>108</v>
      </c>
      <c r="I18" s="314">
        <f>IF(H18="S",$C18,)</f>
        <v>4</v>
      </c>
    </row>
    <row r="19" spans="1:9" x14ac:dyDescent="0.25">
      <c r="A19" s="248"/>
      <c r="B19" s="259" t="s">
        <v>113</v>
      </c>
      <c r="C19" s="260">
        <v>1</v>
      </c>
      <c r="D19" s="260"/>
      <c r="E19" s="314">
        <f t="shared" ref="E19:E22" si="0">IF(D19="S",C19,)</f>
        <v>0</v>
      </c>
      <c r="F19" s="392"/>
      <c r="G19" s="314">
        <f t="shared" ref="G19:G22" si="1">IF(F19="S",C19,)</f>
        <v>0</v>
      </c>
      <c r="H19" s="353"/>
      <c r="I19" s="314">
        <f t="shared" ref="I19:I22" si="2">IF(H19="S",$C19,)</f>
        <v>0</v>
      </c>
    </row>
    <row r="20" spans="1:9" x14ac:dyDescent="0.25">
      <c r="A20" s="239">
        <v>8</v>
      </c>
      <c r="B20" s="259" t="s">
        <v>93</v>
      </c>
      <c r="C20" s="260">
        <v>0</v>
      </c>
      <c r="D20" s="260"/>
      <c r="E20" s="314">
        <f t="shared" si="0"/>
        <v>0</v>
      </c>
      <c r="F20" s="392"/>
      <c r="G20" s="314">
        <f t="shared" si="1"/>
        <v>0</v>
      </c>
      <c r="H20" s="353"/>
      <c r="I20" s="314">
        <f t="shared" si="2"/>
        <v>0</v>
      </c>
    </row>
    <row r="21" spans="1:9" x14ac:dyDescent="0.25">
      <c r="A21" s="239"/>
      <c r="B21" s="259" t="s">
        <v>151</v>
      </c>
      <c r="C21" s="260">
        <v>4</v>
      </c>
      <c r="D21" s="356" t="s">
        <v>108</v>
      </c>
      <c r="E21" s="314">
        <f t="shared" si="0"/>
        <v>4</v>
      </c>
      <c r="F21" s="392"/>
      <c r="G21" s="314">
        <f t="shared" si="1"/>
        <v>0</v>
      </c>
      <c r="H21" s="353"/>
      <c r="I21" s="314">
        <f t="shared" si="2"/>
        <v>0</v>
      </c>
    </row>
    <row r="22" spans="1:9" x14ac:dyDescent="0.25">
      <c r="A22" s="239"/>
      <c r="B22" s="292" t="s">
        <v>620</v>
      </c>
      <c r="C22" s="260">
        <v>2</v>
      </c>
      <c r="D22" s="260"/>
      <c r="E22" s="314">
        <f t="shared" si="0"/>
        <v>0</v>
      </c>
      <c r="F22" s="355" t="s">
        <v>108</v>
      </c>
      <c r="G22" s="314">
        <f t="shared" si="1"/>
        <v>2</v>
      </c>
      <c r="H22" s="355" t="s">
        <v>108</v>
      </c>
      <c r="I22" s="314">
        <f t="shared" si="2"/>
        <v>2</v>
      </c>
    </row>
    <row r="23" spans="1:9" ht="13.8" x14ac:dyDescent="0.3">
      <c r="A23" s="106" t="s">
        <v>114</v>
      </c>
      <c r="B23" s="193" t="s">
        <v>681</v>
      </c>
      <c r="C23" s="76">
        <f>A24</f>
        <v>4</v>
      </c>
      <c r="D23" s="979">
        <v>30</v>
      </c>
      <c r="E23" s="979">
        <f>IF(D23&gt;24,$C23,IF(D23&gt;19.9,$C24,IF(D23&gt;0,$C25,IF(D23=0,"0"))))</f>
        <v>4</v>
      </c>
      <c r="F23" s="979">
        <v>30</v>
      </c>
      <c r="G23" s="979">
        <f>IF(F23&gt;24,$C23,IF(F23&gt;19.9,$C24,IF(F23&gt;0,$C25,IF(F23=0,"0"))))</f>
        <v>4</v>
      </c>
      <c r="H23" s="979">
        <v>25</v>
      </c>
      <c r="I23" s="979">
        <f>IF(H23&gt;25,$C23,IF(H23&gt;19.9,$C24,IF(H23&gt;0,$C25,IF(H23=0,"0"))))</f>
        <v>2</v>
      </c>
    </row>
    <row r="24" spans="1:9" ht="13.8" x14ac:dyDescent="0.3">
      <c r="A24" s="107">
        <v>4</v>
      </c>
      <c r="B24" s="193" t="s">
        <v>680</v>
      </c>
      <c r="C24" s="76">
        <v>2</v>
      </c>
      <c r="D24" s="980"/>
      <c r="E24" s="980"/>
      <c r="F24" s="980"/>
      <c r="G24" s="980"/>
      <c r="H24" s="980"/>
      <c r="I24" s="980"/>
    </row>
    <row r="25" spans="1:9" x14ac:dyDescent="0.25">
      <c r="A25" s="250"/>
      <c r="B25" s="75" t="s">
        <v>117</v>
      </c>
      <c r="C25" s="76">
        <v>0</v>
      </c>
      <c r="D25" s="981"/>
      <c r="E25" s="981"/>
      <c r="F25" s="981"/>
      <c r="G25" s="981"/>
      <c r="H25" s="981"/>
      <c r="I25" s="981"/>
    </row>
    <row r="26" spans="1:9" x14ac:dyDescent="0.25">
      <c r="A26" s="246" t="s">
        <v>164</v>
      </c>
      <c r="B26" s="245" t="s">
        <v>165</v>
      </c>
      <c r="C26" s="182">
        <f>A27</f>
        <v>3</v>
      </c>
      <c r="D26" s="355" t="s">
        <v>108</v>
      </c>
      <c r="E26" s="976">
        <f>IF(D26="S",$C26,IF(D27="S",$C27,IF(D28="S",$C28,)))</f>
        <v>3</v>
      </c>
      <c r="F26" s="481"/>
      <c r="G26" s="976">
        <f>IF(F26="S",$C26,IF(F27="S",$C27,IF(F28="S",$C28,)))</f>
        <v>2</v>
      </c>
      <c r="H26" s="295"/>
      <c r="I26" s="976">
        <f>IF(H26="S",$C26,IF(H27="S",$C27,IF(H28="S",$C28,)))</f>
        <v>2</v>
      </c>
    </row>
    <row r="27" spans="1:9" x14ac:dyDescent="0.25">
      <c r="A27" s="239">
        <v>3</v>
      </c>
      <c r="B27" s="245" t="s">
        <v>58</v>
      </c>
      <c r="C27" s="182">
        <v>2</v>
      </c>
      <c r="D27" s="182"/>
      <c r="E27" s="977"/>
      <c r="F27" s="310" t="s">
        <v>108</v>
      </c>
      <c r="G27" s="977"/>
      <c r="H27" s="481" t="s">
        <v>108</v>
      </c>
      <c r="I27" s="977"/>
    </row>
    <row r="28" spans="1:9" x14ac:dyDescent="0.25">
      <c r="A28" s="261"/>
      <c r="B28" s="245" t="s">
        <v>166</v>
      </c>
      <c r="C28" s="182">
        <v>0</v>
      </c>
      <c r="D28" s="182"/>
      <c r="E28" s="978"/>
      <c r="F28" s="481"/>
      <c r="G28" s="978"/>
      <c r="H28" s="295"/>
      <c r="I28" s="978"/>
    </row>
    <row r="29" spans="1:9" x14ac:dyDescent="0.25">
      <c r="A29" s="106" t="s">
        <v>121</v>
      </c>
      <c r="B29" s="75" t="s">
        <v>123</v>
      </c>
      <c r="C29" s="76">
        <f>A30</f>
        <v>3</v>
      </c>
      <c r="D29" s="114" t="s">
        <v>108</v>
      </c>
      <c r="E29" s="979">
        <f>IF(D29="S",$C$29,IF(D30="S",$C$30,))</f>
        <v>3</v>
      </c>
      <c r="F29" s="114" t="s">
        <v>108</v>
      </c>
      <c r="G29" s="979">
        <f>IF(F29="S",$C$29,IF(F30="S",$C$30,))</f>
        <v>3</v>
      </c>
      <c r="H29" s="114" t="s">
        <v>108</v>
      </c>
      <c r="I29" s="979">
        <f>IF(H29="S",$C$29,IF(H30="S",$C$30,))</f>
        <v>3</v>
      </c>
    </row>
    <row r="30" spans="1:9" x14ac:dyDescent="0.25">
      <c r="A30" s="250">
        <v>3</v>
      </c>
      <c r="B30" s="75" t="s">
        <v>122</v>
      </c>
      <c r="C30" s="76">
        <v>0</v>
      </c>
      <c r="D30" s="76"/>
      <c r="E30" s="981"/>
      <c r="F30" s="480"/>
      <c r="G30" s="981"/>
      <c r="H30" s="290"/>
      <c r="I30" s="981"/>
    </row>
    <row r="31" spans="1:9" x14ac:dyDescent="0.25">
      <c r="A31" s="246" t="s">
        <v>48</v>
      </c>
      <c r="B31" s="245" t="s">
        <v>118</v>
      </c>
      <c r="C31" s="182">
        <f>A32</f>
        <v>3</v>
      </c>
      <c r="D31" s="355" t="s">
        <v>108</v>
      </c>
      <c r="E31" s="976">
        <f>IF(D31="S",C31,IF(D32="S",C32,IF(D33="S",C33,)))</f>
        <v>3</v>
      </c>
      <c r="F31" s="310" t="s">
        <v>108</v>
      </c>
      <c r="G31" s="976">
        <f>IF(F31="S",C31,IF(F32="S",C32,IF(F33="S",C33,)))</f>
        <v>3</v>
      </c>
      <c r="H31" s="310" t="s">
        <v>108</v>
      </c>
      <c r="I31" s="976">
        <f>IF(H31="S",E31,IF(H32="S",E32,IF(H33="S",E33,)))</f>
        <v>3</v>
      </c>
    </row>
    <row r="32" spans="1:9" x14ac:dyDescent="0.25">
      <c r="A32" s="239">
        <v>3</v>
      </c>
      <c r="B32" s="245" t="s">
        <v>120</v>
      </c>
      <c r="C32" s="182">
        <v>2</v>
      </c>
      <c r="D32" s="182"/>
      <c r="E32" s="977"/>
      <c r="F32" s="481"/>
      <c r="G32" s="977"/>
      <c r="H32" s="295"/>
      <c r="I32" s="977"/>
    </row>
    <row r="33" spans="1:9" x14ac:dyDescent="0.25">
      <c r="A33" s="261"/>
      <c r="B33" s="245" t="s">
        <v>119</v>
      </c>
      <c r="C33" s="182">
        <v>0</v>
      </c>
      <c r="D33" s="182"/>
      <c r="E33" s="978"/>
      <c r="F33" s="481"/>
      <c r="G33" s="978"/>
      <c r="H33" s="295"/>
      <c r="I33" s="978"/>
    </row>
    <row r="34" spans="1:9" x14ac:dyDescent="0.25">
      <c r="A34" s="106" t="s">
        <v>49</v>
      </c>
      <c r="B34" s="75" t="s">
        <v>152</v>
      </c>
      <c r="C34" s="76">
        <v>3</v>
      </c>
      <c r="D34" s="114" t="s">
        <v>108</v>
      </c>
      <c r="E34" s="313">
        <f>IF(D34="S",C34,)</f>
        <v>3</v>
      </c>
      <c r="F34" s="114" t="s">
        <v>108</v>
      </c>
      <c r="G34" s="313">
        <f t="shared" ref="G34:G45" si="3">IF(F34="S",C34,)</f>
        <v>3</v>
      </c>
      <c r="H34" s="114" t="s">
        <v>108</v>
      </c>
      <c r="I34" s="313">
        <f t="shared" ref="I34:I45" si="4">IF(H34="S",E34,)</f>
        <v>3</v>
      </c>
    </row>
    <row r="35" spans="1:9" x14ac:dyDescent="0.25">
      <c r="A35" s="249">
        <v>3</v>
      </c>
      <c r="B35" s="75" t="s">
        <v>153</v>
      </c>
      <c r="C35" s="76">
        <v>1</v>
      </c>
      <c r="D35" s="76"/>
      <c r="E35" s="313">
        <f>IF(D35="S",C35,)</f>
        <v>0</v>
      </c>
      <c r="F35" s="480"/>
      <c r="G35" s="313">
        <f t="shared" si="3"/>
        <v>0</v>
      </c>
      <c r="H35" s="290"/>
      <c r="I35" s="313">
        <f t="shared" si="4"/>
        <v>0</v>
      </c>
    </row>
    <row r="36" spans="1:9" x14ac:dyDescent="0.25">
      <c r="A36" s="442" t="s">
        <v>217</v>
      </c>
      <c r="B36" s="259" t="s">
        <v>678</v>
      </c>
      <c r="C36" s="487">
        <v>4</v>
      </c>
      <c r="D36" s="487" t="s">
        <v>108</v>
      </c>
      <c r="E36" s="474">
        <f>IF(D36="S",$C36,)</f>
        <v>4</v>
      </c>
      <c r="F36" s="481"/>
      <c r="G36" s="474">
        <f>IF(F36="S",$C36,)</f>
        <v>0</v>
      </c>
      <c r="H36" s="310" t="s">
        <v>108</v>
      </c>
      <c r="I36" s="474">
        <f>IF(H36="S",$C36,)</f>
        <v>4</v>
      </c>
    </row>
    <row r="37" spans="1:9" x14ac:dyDescent="0.25">
      <c r="A37" s="475">
        <v>3</v>
      </c>
      <c r="B37" s="292" t="s">
        <v>679</v>
      </c>
      <c r="C37" s="487">
        <v>2</v>
      </c>
      <c r="D37" s="1048"/>
      <c r="E37" s="976">
        <f>IF(D37&gt;50,$C37,IF(D37&gt;0,$C38,IF(D38="0",$C38,)))</f>
        <v>0</v>
      </c>
      <c r="F37" s="976">
        <v>80</v>
      </c>
      <c r="G37" s="976">
        <f>IF(F37&gt;50,$C37,IF(F37&gt;0,$C38,IF(F38="0",$C38,)))</f>
        <v>2</v>
      </c>
      <c r="H37" s="1048"/>
      <c r="I37" s="976">
        <f>IF(H37&gt;50,$C37,IF(H37&gt;0,$C38,IF(H38="0",$C38,)))</f>
        <v>0</v>
      </c>
    </row>
    <row r="38" spans="1:9" ht="13.8" x14ac:dyDescent="0.3">
      <c r="A38" s="476"/>
      <c r="B38" s="292" t="s">
        <v>674</v>
      </c>
      <c r="C38" s="487">
        <v>0</v>
      </c>
      <c r="D38" s="999"/>
      <c r="E38" s="978"/>
      <c r="F38" s="978"/>
      <c r="G38" s="978"/>
      <c r="H38" s="999"/>
      <c r="I38" s="978"/>
    </row>
    <row r="39" spans="1:9" x14ac:dyDescent="0.25">
      <c r="A39" s="106" t="s">
        <v>15</v>
      </c>
      <c r="B39" s="547" t="s">
        <v>706</v>
      </c>
      <c r="C39" s="361">
        <v>3</v>
      </c>
      <c r="D39" s="114" t="s">
        <v>108</v>
      </c>
      <c r="E39" s="479">
        <f t="shared" ref="E39:E40" si="5">IF(D39="S",C39,)</f>
        <v>3</v>
      </c>
      <c r="F39" s="480"/>
      <c r="G39" s="479">
        <f t="shared" si="3"/>
        <v>0</v>
      </c>
      <c r="H39" s="290"/>
      <c r="I39" s="479">
        <f t="shared" si="4"/>
        <v>0</v>
      </c>
    </row>
    <row r="40" spans="1:9" x14ac:dyDescent="0.25">
      <c r="A40" s="477">
        <v>10</v>
      </c>
      <c r="B40" s="547" t="s">
        <v>707</v>
      </c>
      <c r="C40" s="361">
        <v>3</v>
      </c>
      <c r="D40" s="114" t="s">
        <v>108</v>
      </c>
      <c r="E40" s="303">
        <f t="shared" si="5"/>
        <v>3</v>
      </c>
      <c r="F40" s="483"/>
      <c r="G40" s="303">
        <f t="shared" si="3"/>
        <v>0</v>
      </c>
      <c r="H40" s="485"/>
      <c r="I40" s="303">
        <f t="shared" si="4"/>
        <v>0</v>
      </c>
    </row>
    <row r="41" spans="1:9" x14ac:dyDescent="0.25">
      <c r="A41" s="477"/>
      <c r="B41" s="110" t="s">
        <v>124</v>
      </c>
      <c r="C41" s="361">
        <v>5</v>
      </c>
      <c r="D41" s="979">
        <v>4</v>
      </c>
      <c r="E41" s="979">
        <f>IF(D41&gt;7,$C41,IF(D41&gt;5,$C42,IF(D41&gt;3,$C43,IF(D41&gt;0,$C44,IF(D41=0,"0")))))</f>
        <v>1</v>
      </c>
      <c r="F41" s="979">
        <v>4</v>
      </c>
      <c r="G41" s="979">
        <f>IF(F41&gt;7,$C41,IF(F41&gt;5,$C42,IF(F41&gt;3,$C43,IF(F41&gt;0,$C44,IF(F41=0,"0")))))</f>
        <v>1</v>
      </c>
      <c r="H41" s="979">
        <v>0</v>
      </c>
      <c r="I41" s="979" t="str">
        <f>IF(H41&gt;7,$C41,IF(H41&gt;5,$C42,IF(H41&gt;3,$C43,IF(H41&gt;0,$C44,IF(H41=0,"0")))))</f>
        <v>0</v>
      </c>
    </row>
    <row r="42" spans="1:9" x14ac:dyDescent="0.25">
      <c r="A42" s="477"/>
      <c r="B42" s="110" t="s">
        <v>126</v>
      </c>
      <c r="C42" s="361">
        <v>2</v>
      </c>
      <c r="D42" s="980"/>
      <c r="E42" s="980"/>
      <c r="F42" s="980"/>
      <c r="G42" s="980"/>
      <c r="H42" s="980"/>
      <c r="I42" s="980"/>
    </row>
    <row r="43" spans="1:9" x14ac:dyDescent="0.25">
      <c r="A43" s="477"/>
      <c r="B43" s="110" t="s">
        <v>125</v>
      </c>
      <c r="C43" s="361">
        <v>1</v>
      </c>
      <c r="D43" s="980"/>
      <c r="E43" s="980"/>
      <c r="F43" s="980"/>
      <c r="G43" s="980"/>
      <c r="H43" s="980"/>
      <c r="I43" s="980"/>
    </row>
    <row r="44" spans="1:9" x14ac:dyDescent="0.25">
      <c r="A44" s="477"/>
      <c r="B44" s="266" t="s">
        <v>708</v>
      </c>
      <c r="C44" s="361">
        <v>0.5</v>
      </c>
      <c r="D44" s="981"/>
      <c r="E44" s="981"/>
      <c r="F44" s="981"/>
      <c r="G44" s="981"/>
      <c r="H44" s="981"/>
      <c r="I44" s="981"/>
    </row>
    <row r="45" spans="1:9" x14ac:dyDescent="0.25">
      <c r="A45" s="478"/>
      <c r="B45" s="110" t="s">
        <v>167</v>
      </c>
      <c r="C45" s="361">
        <v>4</v>
      </c>
      <c r="D45" s="114" t="s">
        <v>108</v>
      </c>
      <c r="E45" s="303">
        <f>IF(D45="S",C45,)</f>
        <v>4</v>
      </c>
      <c r="F45" s="114" t="s">
        <v>108</v>
      </c>
      <c r="G45" s="303">
        <f t="shared" si="3"/>
        <v>4</v>
      </c>
      <c r="H45" s="485"/>
      <c r="I45" s="303">
        <f t="shared" si="4"/>
        <v>0</v>
      </c>
    </row>
    <row r="46" spans="1:9" x14ac:dyDescent="0.25">
      <c r="A46" s="72" t="s">
        <v>50</v>
      </c>
      <c r="B46" s="919">
        <f>SUM(A12:A45)</f>
        <v>45</v>
      </c>
      <c r="C46" s="74"/>
      <c r="D46" s="74"/>
      <c r="E46" s="74">
        <f>SUM(E12:E45)</f>
        <v>46</v>
      </c>
      <c r="F46" s="74"/>
      <c r="G46" s="74">
        <f>SUM(G12:G45)</f>
        <v>31</v>
      </c>
      <c r="H46" s="73"/>
      <c r="I46" s="74">
        <f>SUM(I12:I45)</f>
        <v>26</v>
      </c>
    </row>
    <row r="47" spans="1:9" x14ac:dyDescent="0.25">
      <c r="A47"/>
      <c r="B47"/>
      <c r="C47" s="27"/>
      <c r="D47" s="27"/>
      <c r="E47" s="27"/>
      <c r="F47" s="27"/>
      <c r="G47"/>
      <c r="H47"/>
      <c r="I47"/>
    </row>
    <row r="48" spans="1:9" ht="28.5" customHeight="1" x14ac:dyDescent="0.25">
      <c r="A48"/>
      <c r="B48"/>
      <c r="C48" s="27"/>
      <c r="D48" s="1049" t="str">
        <f>Empresas!$A$56</f>
        <v>LAUSAN</v>
      </c>
      <c r="E48" s="1050"/>
      <c r="F48" s="1049" t="str">
        <f>Empresas!$A$57</f>
        <v>MUEBLES TINAS</v>
      </c>
      <c r="G48" s="1050"/>
      <c r="H48" s="1049" t="str">
        <f>Empresas!$A$59</f>
        <v>OFITA INTERIORES (JOCAFRI)</v>
      </c>
      <c r="I48" s="1050"/>
    </row>
    <row r="49" spans="1:9" x14ac:dyDescent="0.25">
      <c r="A49" s="64" t="s">
        <v>51</v>
      </c>
      <c r="B49" s="64"/>
      <c r="C49" s="65"/>
      <c r="D49" s="65"/>
      <c r="E49" s="65"/>
      <c r="F49" s="65"/>
      <c r="G49" s="65"/>
      <c r="H49" s="64"/>
      <c r="I49" s="65"/>
    </row>
    <row r="50" spans="1:9" x14ac:dyDescent="0.25">
      <c r="A50" s="121" t="s">
        <v>41</v>
      </c>
      <c r="B50" s="66" t="s">
        <v>102</v>
      </c>
      <c r="C50" s="116">
        <v>4</v>
      </c>
      <c r="D50" s="100" t="s">
        <v>108</v>
      </c>
      <c r="E50" s="976">
        <f>IF(D50="S",$C50,IF(D51="S",$C51,))</f>
        <v>4</v>
      </c>
      <c r="F50" s="484" t="s">
        <v>108</v>
      </c>
      <c r="G50" s="976">
        <f>IF(F50="S",$C50,IF(F51="S",$C51,))</f>
        <v>4</v>
      </c>
      <c r="H50" s="484"/>
      <c r="I50" s="976">
        <f>IF(H50="S",$C50,IF(H51="S",$C51,))</f>
        <v>0</v>
      </c>
    </row>
    <row r="51" spans="1:9" x14ac:dyDescent="0.25">
      <c r="A51" s="143">
        <v>4</v>
      </c>
      <c r="B51" s="119" t="s">
        <v>103</v>
      </c>
      <c r="C51" s="198">
        <v>0</v>
      </c>
      <c r="D51" s="198"/>
      <c r="E51" s="977"/>
      <c r="F51" s="367"/>
      <c r="G51" s="977"/>
      <c r="H51" s="367" t="s">
        <v>108</v>
      </c>
      <c r="I51" s="977"/>
    </row>
    <row r="52" spans="1:9" x14ac:dyDescent="0.25">
      <c r="A52" s="68" t="s">
        <v>155</v>
      </c>
      <c r="B52" s="193" t="s">
        <v>617</v>
      </c>
      <c r="C52" s="164">
        <v>4</v>
      </c>
      <c r="D52" s="979">
        <v>25</v>
      </c>
      <c r="E52" s="979">
        <f>IF(D52&gt;24,$C52,IF(D52&gt;19,$C53,IF(D52&gt;0,$C54,IF(D52=0,"0"))))</f>
        <v>4</v>
      </c>
      <c r="F52" s="979">
        <v>25</v>
      </c>
      <c r="G52" s="979">
        <f>IF(F52&gt;24,$C52,IF(F52&gt;19,$C53,IF(F52&gt;0,$C54,IF(F52=0,"0"))))</f>
        <v>4</v>
      </c>
      <c r="H52" s="979">
        <v>19</v>
      </c>
      <c r="I52" s="979">
        <f>IF(H52&gt;24,$C52,IF(H52&gt;19,$C53,IF(H52&gt;0,$C54,IF(H52=0,"0"))))</f>
        <v>0</v>
      </c>
    </row>
    <row r="53" spans="1:9" x14ac:dyDescent="0.25">
      <c r="A53" s="69">
        <v>4</v>
      </c>
      <c r="B53" s="193" t="s">
        <v>616</v>
      </c>
      <c r="C53" s="164">
        <v>2</v>
      </c>
      <c r="D53" s="980"/>
      <c r="E53" s="980"/>
      <c r="F53" s="980"/>
      <c r="G53" s="980"/>
      <c r="H53" s="980"/>
      <c r="I53" s="980"/>
    </row>
    <row r="54" spans="1:9" x14ac:dyDescent="0.25">
      <c r="A54" s="70"/>
      <c r="B54" s="75" t="s">
        <v>117</v>
      </c>
      <c r="C54" s="164">
        <v>0</v>
      </c>
      <c r="D54" s="981"/>
      <c r="E54" s="981"/>
      <c r="F54" s="981"/>
      <c r="G54" s="981"/>
      <c r="H54" s="981"/>
      <c r="I54" s="981"/>
    </row>
    <row r="55" spans="1:9" x14ac:dyDescent="0.25">
      <c r="A55" s="246" t="s">
        <v>853</v>
      </c>
      <c r="B55" s="511" t="s">
        <v>524</v>
      </c>
      <c r="C55" s="610">
        <v>3</v>
      </c>
      <c r="D55" s="355" t="s">
        <v>108</v>
      </c>
      <c r="E55" s="623">
        <f>IF(D55="S",$C55,)</f>
        <v>3</v>
      </c>
      <c r="F55" s="610"/>
      <c r="G55" s="623">
        <f>IF(F55="S",$C55,)</f>
        <v>0</v>
      </c>
      <c r="H55" s="355"/>
      <c r="I55" s="623">
        <f>IF(H55="S",$C55,)</f>
        <v>0</v>
      </c>
    </row>
    <row r="56" spans="1:9" x14ac:dyDescent="0.25">
      <c r="A56" s="606">
        <v>4</v>
      </c>
      <c r="B56" s="511" t="s">
        <v>852</v>
      </c>
      <c r="C56" s="610">
        <v>1</v>
      </c>
      <c r="D56" s="355"/>
      <c r="E56" s="623">
        <f>IF(D56="S",$C56,)</f>
        <v>0</v>
      </c>
      <c r="F56" s="355" t="s">
        <v>108</v>
      </c>
      <c r="G56" s="623">
        <f>IF(F56="S",$C56,)</f>
        <v>1</v>
      </c>
      <c r="H56" s="355" t="s">
        <v>108</v>
      </c>
      <c r="I56" s="623">
        <f>IF(H56="S",$C56,)</f>
        <v>1</v>
      </c>
    </row>
    <row r="57" spans="1:9" x14ac:dyDescent="0.25">
      <c r="A57" s="106" t="s">
        <v>154</v>
      </c>
      <c r="B57" s="193" t="s">
        <v>617</v>
      </c>
      <c r="C57" s="609">
        <v>4</v>
      </c>
      <c r="D57" s="979">
        <v>22</v>
      </c>
      <c r="E57" s="1047">
        <f>IF(D57&gt;19.9,$C57,IF(D57&gt;0,$C58,))</f>
        <v>4</v>
      </c>
      <c r="F57" s="979">
        <v>19</v>
      </c>
      <c r="G57" s="1047">
        <f>IF(F57&gt;19.9,$C57,IF(F57&gt;0,$C58,))</f>
        <v>1</v>
      </c>
      <c r="H57" s="979">
        <v>19</v>
      </c>
      <c r="I57" s="1047">
        <f>IF(H57&gt;19.9,$C57,IF(H57&gt;0,$C58,))</f>
        <v>1</v>
      </c>
    </row>
    <row r="58" spans="1:9" x14ac:dyDescent="0.25">
      <c r="A58" s="107">
        <v>4</v>
      </c>
      <c r="B58" s="512" t="s">
        <v>117</v>
      </c>
      <c r="C58" s="609">
        <v>1</v>
      </c>
      <c r="D58" s="980"/>
      <c r="E58" s="1047"/>
      <c r="F58" s="980"/>
      <c r="G58" s="1047"/>
      <c r="H58" s="980"/>
      <c r="I58" s="1047"/>
    </row>
    <row r="59" spans="1:9" x14ac:dyDescent="0.25">
      <c r="A59" s="246" t="s">
        <v>164</v>
      </c>
      <c r="B59" s="511" t="s">
        <v>165</v>
      </c>
      <c r="C59" s="610">
        <v>4</v>
      </c>
      <c r="D59" s="355"/>
      <c r="E59" s="976">
        <f>IF(D59="S",$C59,IF(D60="S",$C60,))</f>
        <v>2</v>
      </c>
      <c r="F59" s="610"/>
      <c r="G59" s="976">
        <f>IF(F59="S",$C59,IF(F60="S",$C60,))</f>
        <v>2</v>
      </c>
      <c r="H59" s="511"/>
      <c r="I59" s="976">
        <f>IF(H59="S",$C59,IF(H60="S",$C60,))</f>
        <v>2</v>
      </c>
    </row>
    <row r="60" spans="1:9" x14ac:dyDescent="0.25">
      <c r="A60" s="606">
        <v>4</v>
      </c>
      <c r="B60" s="511" t="s">
        <v>58</v>
      </c>
      <c r="C60" s="610">
        <v>2</v>
      </c>
      <c r="D60" s="355" t="s">
        <v>108</v>
      </c>
      <c r="E60" s="978"/>
      <c r="F60" s="355" t="s">
        <v>108</v>
      </c>
      <c r="G60" s="978"/>
      <c r="H60" s="355" t="s">
        <v>108</v>
      </c>
      <c r="I60" s="978"/>
    </row>
    <row r="61" spans="1:9" x14ac:dyDescent="0.25">
      <c r="A61" s="106" t="s">
        <v>156</v>
      </c>
      <c r="B61" s="512" t="s">
        <v>157</v>
      </c>
      <c r="C61" s="609">
        <v>5</v>
      </c>
      <c r="D61" s="114" t="s">
        <v>108</v>
      </c>
      <c r="E61" s="624">
        <f>IF(D61="S",$C61,)</f>
        <v>5</v>
      </c>
      <c r="F61" s="114" t="s">
        <v>108</v>
      </c>
      <c r="G61" s="624">
        <f>IF(F61="S",$C61,)</f>
        <v>5</v>
      </c>
      <c r="H61" s="114" t="s">
        <v>108</v>
      </c>
      <c r="I61" s="624">
        <f>IF(H61="S",$C61,)</f>
        <v>5</v>
      </c>
    </row>
    <row r="62" spans="1:9" x14ac:dyDescent="0.25">
      <c r="A62" s="603">
        <v>15</v>
      </c>
      <c r="B62" s="512" t="s">
        <v>158</v>
      </c>
      <c r="C62" s="609">
        <v>1</v>
      </c>
      <c r="D62" s="609"/>
      <c r="E62" s="624">
        <f t="shared" ref="E62:G66" si="6">IF(D62="S",$C62,)</f>
        <v>0</v>
      </c>
      <c r="F62" s="609"/>
      <c r="G62" s="624">
        <f t="shared" si="6"/>
        <v>0</v>
      </c>
      <c r="H62" s="609"/>
      <c r="I62" s="624">
        <f t="shared" ref="I62:I66" si="7">IF(H62="S",$C62,)</f>
        <v>0</v>
      </c>
    </row>
    <row r="63" spans="1:9" x14ac:dyDescent="0.25">
      <c r="A63" s="603"/>
      <c r="B63" s="512" t="s">
        <v>159</v>
      </c>
      <c r="C63" s="609">
        <v>5</v>
      </c>
      <c r="D63" s="114" t="s">
        <v>108</v>
      </c>
      <c r="E63" s="624">
        <f t="shared" si="6"/>
        <v>5</v>
      </c>
      <c r="F63" s="114" t="s">
        <v>108</v>
      </c>
      <c r="G63" s="624">
        <f t="shared" si="6"/>
        <v>5</v>
      </c>
      <c r="H63" s="114" t="s">
        <v>108</v>
      </c>
      <c r="I63" s="624">
        <f t="shared" si="7"/>
        <v>5</v>
      </c>
    </row>
    <row r="64" spans="1:9" x14ac:dyDescent="0.25">
      <c r="A64" s="603"/>
      <c r="B64" s="512" t="s">
        <v>160</v>
      </c>
      <c r="C64" s="609">
        <v>1</v>
      </c>
      <c r="D64" s="609"/>
      <c r="E64" s="624">
        <f t="shared" si="6"/>
        <v>0</v>
      </c>
      <c r="F64" s="609"/>
      <c r="G64" s="624">
        <f t="shared" si="6"/>
        <v>0</v>
      </c>
      <c r="H64" s="609"/>
      <c r="I64" s="624">
        <f t="shared" si="7"/>
        <v>0</v>
      </c>
    </row>
    <row r="65" spans="1:9" x14ac:dyDescent="0.25">
      <c r="A65" s="603"/>
      <c r="B65" s="512" t="s">
        <v>161</v>
      </c>
      <c r="C65" s="609">
        <v>5</v>
      </c>
      <c r="D65" s="114" t="s">
        <v>108</v>
      </c>
      <c r="E65" s="624">
        <f t="shared" si="6"/>
        <v>5</v>
      </c>
      <c r="F65" s="114" t="s">
        <v>108</v>
      </c>
      <c r="G65" s="624">
        <f t="shared" si="6"/>
        <v>5</v>
      </c>
      <c r="H65" s="114" t="s">
        <v>108</v>
      </c>
      <c r="I65" s="624">
        <f t="shared" si="7"/>
        <v>5</v>
      </c>
    </row>
    <row r="66" spans="1:9" x14ac:dyDescent="0.25">
      <c r="A66" s="604"/>
      <c r="B66" s="512" t="s">
        <v>162</v>
      </c>
      <c r="C66" s="609">
        <v>1</v>
      </c>
      <c r="D66" s="609"/>
      <c r="E66" s="624">
        <f t="shared" si="6"/>
        <v>0</v>
      </c>
      <c r="F66" s="609"/>
      <c r="G66" s="624">
        <f t="shared" si="6"/>
        <v>0</v>
      </c>
      <c r="H66" s="609"/>
      <c r="I66" s="624">
        <f t="shared" si="7"/>
        <v>0</v>
      </c>
    </row>
    <row r="67" spans="1:9" x14ac:dyDescent="0.25">
      <c r="A67" s="246" t="s">
        <v>133</v>
      </c>
      <c r="B67" s="511" t="s">
        <v>163</v>
      </c>
      <c r="C67" s="610">
        <v>2</v>
      </c>
      <c r="D67" s="355" t="s">
        <v>108</v>
      </c>
      <c r="E67" s="623">
        <f>IF(D67="S",$C67,)</f>
        <v>2</v>
      </c>
      <c r="F67" s="610"/>
      <c r="G67" s="623">
        <f>IF(F67="S",$C67,)</f>
        <v>0</v>
      </c>
      <c r="H67" s="355" t="s">
        <v>108</v>
      </c>
      <c r="I67" s="623">
        <f>IF(H67="S",$C67,)</f>
        <v>2</v>
      </c>
    </row>
    <row r="68" spans="1:9" x14ac:dyDescent="0.25">
      <c r="A68" s="606">
        <v>4</v>
      </c>
      <c r="B68" s="511" t="s">
        <v>715</v>
      </c>
      <c r="C68" s="610">
        <v>2</v>
      </c>
      <c r="D68" s="355" t="s">
        <v>108</v>
      </c>
      <c r="E68" s="623">
        <f>IF(D68="S",$C68,)</f>
        <v>2</v>
      </c>
      <c r="F68" s="355" t="s">
        <v>108</v>
      </c>
      <c r="G68" s="623">
        <f>IF(F68="S",$C68,)</f>
        <v>2</v>
      </c>
      <c r="H68" s="355" t="s">
        <v>108</v>
      </c>
      <c r="I68" s="623">
        <f>IF(H68="S",$C68,)</f>
        <v>2</v>
      </c>
    </row>
    <row r="69" spans="1:9" x14ac:dyDescent="0.25">
      <c r="A69" s="106" t="s">
        <v>47</v>
      </c>
      <c r="B69" s="193" t="s">
        <v>619</v>
      </c>
      <c r="C69" s="609">
        <f>A70</f>
        <v>4</v>
      </c>
      <c r="D69" s="114" t="s">
        <v>108</v>
      </c>
      <c r="E69" s="1047">
        <f>IF(D69="S",$C69,IF(D70="S",$C70,))</f>
        <v>4</v>
      </c>
      <c r="F69" s="609"/>
      <c r="G69" s="1047">
        <f>IF(F69="S",$C69,IF(F70="S",$C70,))</f>
        <v>0</v>
      </c>
      <c r="H69" s="114" t="s">
        <v>108</v>
      </c>
      <c r="I69" s="1047">
        <f>IF(H69="S",$C69,IF(H70="S",$C70,))</f>
        <v>4</v>
      </c>
    </row>
    <row r="70" spans="1:9" x14ac:dyDescent="0.25">
      <c r="A70" s="603">
        <v>4</v>
      </c>
      <c r="B70" s="193" t="s">
        <v>618</v>
      </c>
      <c r="C70" s="609">
        <v>0</v>
      </c>
      <c r="D70" s="609"/>
      <c r="E70" s="1047"/>
      <c r="F70" s="114" t="s">
        <v>108</v>
      </c>
      <c r="G70" s="1047"/>
      <c r="H70" s="512"/>
      <c r="I70" s="1047"/>
    </row>
    <row r="71" spans="1:9" x14ac:dyDescent="0.25">
      <c r="A71" s="246" t="s">
        <v>15</v>
      </c>
      <c r="B71" s="511" t="s">
        <v>129</v>
      </c>
      <c r="C71" s="610">
        <v>2</v>
      </c>
      <c r="D71" s="610"/>
      <c r="E71" s="623">
        <f>IF(D71="S",$C71,)</f>
        <v>0</v>
      </c>
      <c r="F71" s="610"/>
      <c r="G71" s="623">
        <f>IF(F71="S",$C71,)</f>
        <v>0</v>
      </c>
      <c r="H71" s="511"/>
      <c r="I71" s="623">
        <f>IF(H71="S",$C71,)</f>
        <v>0</v>
      </c>
    </row>
    <row r="72" spans="1:9" x14ac:dyDescent="0.25">
      <c r="A72" s="605">
        <v>2</v>
      </c>
      <c r="B72" s="511"/>
      <c r="C72" s="610"/>
      <c r="D72" s="610"/>
      <c r="E72" s="623">
        <f>IF(D72="S",$C72,)</f>
        <v>0</v>
      </c>
      <c r="F72" s="610"/>
      <c r="G72" s="623">
        <f>IF(F72="S",$C72,)</f>
        <v>0</v>
      </c>
      <c r="H72" s="511"/>
      <c r="I72" s="623">
        <f>IF(H72="S",$C72,)</f>
        <v>0</v>
      </c>
    </row>
    <row r="73" spans="1:9" x14ac:dyDescent="0.25">
      <c r="A73" s="73" t="s">
        <v>50</v>
      </c>
      <c r="B73" s="919">
        <f>SUM(A50:A73)</f>
        <v>45</v>
      </c>
      <c r="C73" s="74"/>
      <c r="D73" s="74"/>
      <c r="E73" s="74">
        <f>SUM(E50:E72)</f>
        <v>40</v>
      </c>
      <c r="F73" s="74"/>
      <c r="G73" s="74">
        <f>SUM(G50:G72)</f>
        <v>29</v>
      </c>
      <c r="H73" s="73"/>
      <c r="I73" s="74">
        <f>SUM(I50:I72)</f>
        <v>27</v>
      </c>
    </row>
    <row r="74" spans="1:9" x14ac:dyDescent="0.25">
      <c r="A74"/>
      <c r="B74"/>
      <c r="C74" s="27"/>
      <c r="D74" s="27"/>
      <c r="E74" s="27"/>
      <c r="F74" s="27"/>
      <c r="G74"/>
      <c r="H74"/>
      <c r="I74"/>
    </row>
    <row r="75" spans="1:9" x14ac:dyDescent="0.25">
      <c r="A75"/>
      <c r="B75"/>
      <c r="C75" s="27"/>
      <c r="D75" s="27"/>
      <c r="E75" s="27"/>
      <c r="F75" s="27"/>
      <c r="G75"/>
      <c r="H75"/>
      <c r="I75"/>
    </row>
    <row r="76" spans="1:9" ht="27.75" customHeight="1" x14ac:dyDescent="0.25">
      <c r="A76"/>
      <c r="B76"/>
      <c r="C76" s="27"/>
      <c r="D76" s="1049" t="str">
        <f>Empresas!$A$56</f>
        <v>LAUSAN</v>
      </c>
      <c r="E76" s="1050"/>
      <c r="F76" s="1049" t="str">
        <f>Empresas!$A$57</f>
        <v>MUEBLES TINAS</v>
      </c>
      <c r="G76" s="1050"/>
      <c r="H76" s="1049" t="str">
        <f>Empresas!$A$59</f>
        <v>OFITA INTERIORES (JOCAFRI)</v>
      </c>
      <c r="I76" s="1050"/>
    </row>
    <row r="77" spans="1:9" x14ac:dyDescent="0.25">
      <c r="A77" s="64" t="s">
        <v>52</v>
      </c>
      <c r="B77" s="64"/>
      <c r="C77" s="65"/>
      <c r="D77" s="65"/>
      <c r="E77" s="65"/>
      <c r="F77" s="65"/>
      <c r="G77" s="65"/>
      <c r="H77" s="64"/>
      <c r="I77" s="65"/>
    </row>
    <row r="78" spans="1:9" x14ac:dyDescent="0.25">
      <c r="A78" s="64" t="s">
        <v>53</v>
      </c>
      <c r="B78" s="64"/>
      <c r="C78" s="65"/>
      <c r="D78" s="65"/>
      <c r="E78" s="65"/>
      <c r="F78" s="65"/>
      <c r="G78" s="65"/>
      <c r="H78" s="64"/>
      <c r="I78" s="65"/>
    </row>
    <row r="79" spans="1:9" x14ac:dyDescent="0.25">
      <c r="A79" s="177" t="s">
        <v>330</v>
      </c>
      <c r="B79" s="64"/>
      <c r="C79" s="65"/>
      <c r="D79" s="65"/>
      <c r="E79" s="65"/>
      <c r="F79" s="65"/>
      <c r="G79" s="188"/>
      <c r="H79" s="64"/>
      <c r="I79" s="188"/>
    </row>
    <row r="80" spans="1:9" x14ac:dyDescent="0.25">
      <c r="A80" s="177" t="s">
        <v>331</v>
      </c>
      <c r="B80" s="64"/>
      <c r="C80" s="65"/>
      <c r="D80" s="65"/>
      <c r="E80" s="65"/>
      <c r="F80" s="65"/>
      <c r="G80" s="188"/>
      <c r="H80" s="64"/>
      <c r="I80" s="188"/>
    </row>
    <row r="81" spans="1:9" x14ac:dyDescent="0.25">
      <c r="A81" s="177" t="s">
        <v>332</v>
      </c>
      <c r="B81" s="64"/>
      <c r="C81" s="65"/>
      <c r="D81" s="65"/>
      <c r="E81" s="65"/>
      <c r="F81" s="65"/>
      <c r="G81" s="188"/>
      <c r="H81" s="64"/>
      <c r="I81" s="188"/>
    </row>
    <row r="82" spans="1:9" x14ac:dyDescent="0.25">
      <c r="A82" s="177" t="s">
        <v>520</v>
      </c>
      <c r="B82" s="64"/>
      <c r="C82" s="65"/>
      <c r="D82" s="65"/>
      <c r="E82" s="65"/>
      <c r="F82" s="65"/>
      <c r="G82" s="188"/>
      <c r="H82" s="64"/>
      <c r="I82" s="188"/>
    </row>
    <row r="83" spans="1:9" x14ac:dyDescent="0.25">
      <c r="A83" s="121" t="s">
        <v>149</v>
      </c>
      <c r="B83" s="115" t="s">
        <v>130</v>
      </c>
      <c r="C83" s="116">
        <f>A84</f>
        <v>4</v>
      </c>
      <c r="D83" s="100" t="s">
        <v>108</v>
      </c>
      <c r="E83" s="1051">
        <f>IF(D83="S",$C83,IF(D84="S",$C84,IF(D85="S",$C85,IF(D86="S",$C86,IF(D87="S",$C87,)))))</f>
        <v>4</v>
      </c>
      <c r="F83" s="482"/>
      <c r="G83" s="1051">
        <f>IF(F83="S",$C83,IF(F84="S",$C84,IF(F85="S",$C85,IF(F86="S",$C86,IF(F87="S",$C87,)))))</f>
        <v>3</v>
      </c>
      <c r="H83" s="115"/>
      <c r="I83" s="1051">
        <f>IF(H83="S",$C83,IF(H84="S",$C84,IF(H85="S",$C85,IF(H86="S",$C86,IF(H87="S",$C87,)))))</f>
        <v>3</v>
      </c>
    </row>
    <row r="84" spans="1:9" x14ac:dyDescent="0.25">
      <c r="A84" s="143">
        <v>4</v>
      </c>
      <c r="B84" s="115" t="s">
        <v>131</v>
      </c>
      <c r="C84" s="198">
        <v>3</v>
      </c>
      <c r="D84" s="198"/>
      <c r="E84" s="1052"/>
      <c r="F84" s="198" t="s">
        <v>108</v>
      </c>
      <c r="G84" s="1052"/>
      <c r="H84" s="198" t="s">
        <v>108</v>
      </c>
      <c r="I84" s="1052"/>
    </row>
    <row r="85" spans="1:9" x14ac:dyDescent="0.25">
      <c r="A85" s="143"/>
      <c r="B85" s="119" t="s">
        <v>112</v>
      </c>
      <c r="C85" s="198">
        <v>2</v>
      </c>
      <c r="D85" s="198"/>
      <c r="E85" s="1052"/>
      <c r="F85" s="198"/>
      <c r="G85" s="1052"/>
      <c r="H85" s="119"/>
      <c r="I85" s="1052"/>
    </row>
    <row r="86" spans="1:9" x14ac:dyDescent="0.25">
      <c r="A86" s="143"/>
      <c r="B86" s="119" t="s">
        <v>113</v>
      </c>
      <c r="C86" s="198">
        <v>1</v>
      </c>
      <c r="D86" s="198"/>
      <c r="E86" s="1052"/>
      <c r="F86" s="198"/>
      <c r="G86" s="1052"/>
      <c r="H86" s="119"/>
      <c r="I86" s="1052"/>
    </row>
    <row r="87" spans="1:9" x14ac:dyDescent="0.25">
      <c r="A87" s="144"/>
      <c r="B87" s="119" t="s">
        <v>98</v>
      </c>
      <c r="C87" s="198">
        <v>0</v>
      </c>
      <c r="D87" s="198"/>
      <c r="E87" s="1053"/>
      <c r="F87" s="198"/>
      <c r="G87" s="1053"/>
      <c r="H87" s="119"/>
      <c r="I87" s="1053"/>
    </row>
    <row r="88" spans="1:9" x14ac:dyDescent="0.25">
      <c r="A88" s="68" t="s">
        <v>147</v>
      </c>
      <c r="B88" s="13" t="s">
        <v>105</v>
      </c>
      <c r="C88" s="164">
        <f>A89</f>
        <v>4</v>
      </c>
      <c r="D88" s="187" t="s">
        <v>108</v>
      </c>
      <c r="E88" s="979">
        <f>IF(D88="s",$C88,IF(D89="s",$C89,IF(D90="s",$C90)))</f>
        <v>4</v>
      </c>
      <c r="F88" s="187"/>
      <c r="G88" s="979">
        <f>IF(F88="s",$C88,IF(F89="s",$C89,IF(F90="s",$C90)))</f>
        <v>2</v>
      </c>
      <c r="H88" s="187"/>
      <c r="I88" s="979">
        <f>IF(H88="s",$C88,IF(H89="s",$C89,IF(H90="s",$C90)))</f>
        <v>2</v>
      </c>
    </row>
    <row r="89" spans="1:9" x14ac:dyDescent="0.25">
      <c r="A89" s="69">
        <v>4</v>
      </c>
      <c r="B89" s="13" t="s">
        <v>106</v>
      </c>
      <c r="C89" s="164">
        <v>3</v>
      </c>
      <c r="D89" s="318"/>
      <c r="E89" s="980"/>
      <c r="F89" s="486"/>
      <c r="G89" s="980"/>
      <c r="H89" s="375"/>
      <c r="I89" s="980"/>
    </row>
    <row r="90" spans="1:9" x14ac:dyDescent="0.25">
      <c r="A90" s="70"/>
      <c r="B90" s="13" t="s">
        <v>107</v>
      </c>
      <c r="C90" s="164">
        <v>2</v>
      </c>
      <c r="D90" s="318"/>
      <c r="E90" s="981"/>
      <c r="F90" s="486" t="s">
        <v>108</v>
      </c>
      <c r="G90" s="981"/>
      <c r="H90" s="375" t="s">
        <v>108</v>
      </c>
      <c r="I90" s="981"/>
    </row>
    <row r="91" spans="1:9" x14ac:dyDescent="0.25">
      <c r="A91" s="121" t="s">
        <v>624</v>
      </c>
      <c r="B91" s="207" t="s">
        <v>617</v>
      </c>
      <c r="C91" s="116">
        <v>4</v>
      </c>
      <c r="D91" s="976">
        <v>25</v>
      </c>
      <c r="E91" s="976">
        <f>IF(D91&gt;24,$C91,IF(D91&gt;0,$C92,IF(D91=0,"0")))</f>
        <v>4</v>
      </c>
      <c r="F91" s="976">
        <v>25</v>
      </c>
      <c r="G91" s="976">
        <f>IF(F91&gt;24,$C91,IF(F91&gt;0,$C92,IF(F91=0,"0")))</f>
        <v>4</v>
      </c>
      <c r="H91" s="976">
        <v>25</v>
      </c>
      <c r="I91" s="976">
        <f>IF(H91&gt;24,$C91,IF(H91&gt;0,$C92,IF(H91=0,"0")))</f>
        <v>4</v>
      </c>
    </row>
    <row r="92" spans="1:9" x14ac:dyDescent="0.25">
      <c r="A92" s="71">
        <v>4</v>
      </c>
      <c r="B92" s="207" t="s">
        <v>616</v>
      </c>
      <c r="C92" s="116">
        <v>2</v>
      </c>
      <c r="D92" s="977"/>
      <c r="E92" s="977"/>
      <c r="F92" s="977"/>
      <c r="G92" s="977"/>
      <c r="H92" s="977"/>
      <c r="I92" s="977"/>
    </row>
    <row r="93" spans="1:9" x14ac:dyDescent="0.25">
      <c r="A93" s="144"/>
      <c r="B93" s="245" t="s">
        <v>117</v>
      </c>
      <c r="C93" s="116">
        <v>0</v>
      </c>
      <c r="D93" s="978"/>
      <c r="E93" s="978"/>
      <c r="F93" s="978"/>
      <c r="G93" s="978"/>
      <c r="H93" s="978"/>
      <c r="I93" s="978"/>
    </row>
    <row r="94" spans="1:9" ht="13.8" x14ac:dyDescent="0.3">
      <c r="A94" s="106" t="s">
        <v>625</v>
      </c>
      <c r="B94" s="193" t="s">
        <v>682</v>
      </c>
      <c r="C94" s="376">
        <v>4</v>
      </c>
      <c r="D94" s="979">
        <v>25</v>
      </c>
      <c r="E94" s="979">
        <f>IF(D94&gt;24.9,$C94,IF(D94&gt;19.9,$C95,IF(D94&gt;1,$C96,IF(D94=0,"0"))))</f>
        <v>4</v>
      </c>
      <c r="F94" s="979">
        <v>19</v>
      </c>
      <c r="G94" s="979">
        <f>IF(F94&gt;24.9,$C94,IF(F94&gt;19.9,$C95,IF(F94&gt;1,$C96,IF(F94=0,"0"))))</f>
        <v>1</v>
      </c>
      <c r="H94" s="979">
        <v>19</v>
      </c>
      <c r="I94" s="979">
        <f>IF(H94&gt;24.9,$C94,IF(H94&gt;19.9,$C95,IF(H94&gt;1,$C96,IF(H94=0,"0"))))</f>
        <v>1</v>
      </c>
    </row>
    <row r="95" spans="1:9" ht="13.8" x14ac:dyDescent="0.3">
      <c r="A95" s="107">
        <v>4</v>
      </c>
      <c r="B95" s="193" t="s">
        <v>683</v>
      </c>
      <c r="C95" s="376">
        <v>2</v>
      </c>
      <c r="D95" s="980"/>
      <c r="E95" s="980"/>
      <c r="F95" s="980"/>
      <c r="G95" s="980"/>
      <c r="H95" s="980"/>
      <c r="I95" s="980"/>
    </row>
    <row r="96" spans="1:9" x14ac:dyDescent="0.25">
      <c r="A96" s="368"/>
      <c r="B96" s="380" t="s">
        <v>117</v>
      </c>
      <c r="C96" s="376">
        <v>1</v>
      </c>
      <c r="D96" s="981"/>
      <c r="E96" s="981"/>
      <c r="F96" s="981"/>
      <c r="G96" s="981"/>
      <c r="H96" s="981"/>
      <c r="I96" s="981"/>
    </row>
    <row r="97" spans="1:9" x14ac:dyDescent="0.25">
      <c r="A97" s="121" t="s">
        <v>626</v>
      </c>
      <c r="B97" s="207" t="s">
        <v>617</v>
      </c>
      <c r="C97" s="374">
        <v>4</v>
      </c>
      <c r="D97" s="976">
        <v>25</v>
      </c>
      <c r="E97" s="976">
        <f>IF(D97&gt;24,$C97,IF(D97&gt;0,$C98,IF(D97=0,"0")))</f>
        <v>4</v>
      </c>
      <c r="F97" s="976">
        <v>25</v>
      </c>
      <c r="G97" s="976">
        <f>IF(F97&gt;24,$C97,IF(F97&gt;0,$C98,IF(F97=0,"0")))</f>
        <v>4</v>
      </c>
      <c r="H97" s="976">
        <v>25</v>
      </c>
      <c r="I97" s="976">
        <f>IF(H97&gt;24,$C97,IF(H97&gt;0,$C98,IF(H97=0,"0")))</f>
        <v>4</v>
      </c>
    </row>
    <row r="98" spans="1:9" x14ac:dyDescent="0.25">
      <c r="A98" s="71">
        <v>4</v>
      </c>
      <c r="B98" s="207" t="s">
        <v>616</v>
      </c>
      <c r="C98" s="374">
        <v>2</v>
      </c>
      <c r="D98" s="977"/>
      <c r="E98" s="977"/>
      <c r="F98" s="977"/>
      <c r="G98" s="977"/>
      <c r="H98" s="977"/>
      <c r="I98" s="977"/>
    </row>
    <row r="99" spans="1:9" x14ac:dyDescent="0.25">
      <c r="A99" s="372"/>
      <c r="B99" s="379" t="s">
        <v>117</v>
      </c>
      <c r="C99" s="374">
        <v>0</v>
      </c>
      <c r="D99" s="978"/>
      <c r="E99" s="978"/>
      <c r="F99" s="978"/>
      <c r="G99" s="978"/>
      <c r="H99" s="978"/>
      <c r="I99" s="978"/>
    </row>
    <row r="100" spans="1:9" x14ac:dyDescent="0.25">
      <c r="A100" s="106" t="s">
        <v>164</v>
      </c>
      <c r="B100" s="380" t="s">
        <v>165</v>
      </c>
      <c r="C100" s="376">
        <v>4</v>
      </c>
      <c r="D100" s="114"/>
      <c r="E100" s="979">
        <f>IF(D100="S",$C100,IF(D101="S",$C101,))</f>
        <v>2</v>
      </c>
      <c r="F100" s="483"/>
      <c r="G100" s="979">
        <f>IF(F100="S",$C100,IF(F101="S",$C101,))</f>
        <v>2</v>
      </c>
      <c r="H100" s="380"/>
      <c r="I100" s="979">
        <f>IF(H100="S",$C100,IF(H101="S",$C101,))</f>
        <v>2</v>
      </c>
    </row>
    <row r="101" spans="1:9" x14ac:dyDescent="0.25">
      <c r="A101" s="368">
        <v>4</v>
      </c>
      <c r="B101" s="380" t="s">
        <v>58</v>
      </c>
      <c r="C101" s="376">
        <v>2</v>
      </c>
      <c r="D101" s="376" t="s">
        <v>108</v>
      </c>
      <c r="E101" s="980"/>
      <c r="F101" s="483" t="s">
        <v>108</v>
      </c>
      <c r="G101" s="980"/>
      <c r="H101" s="483" t="s">
        <v>108</v>
      </c>
      <c r="I101" s="980"/>
    </row>
    <row r="102" spans="1:9" x14ac:dyDescent="0.25">
      <c r="A102" s="246" t="s">
        <v>170</v>
      </c>
      <c r="B102" s="379" t="s">
        <v>169</v>
      </c>
      <c r="C102" s="378">
        <v>2</v>
      </c>
      <c r="D102" s="355" t="s">
        <v>108</v>
      </c>
      <c r="E102" s="310">
        <f>IF(D102="S",$C102,)</f>
        <v>2</v>
      </c>
      <c r="F102" s="487" t="s">
        <v>108</v>
      </c>
      <c r="G102" s="310">
        <f>IF(F102="S",$C102,)</f>
        <v>2</v>
      </c>
      <c r="H102" s="378" t="s">
        <v>108</v>
      </c>
      <c r="I102" s="310">
        <f>IF(H102="S",$C102,)</f>
        <v>2</v>
      </c>
    </row>
    <row r="103" spans="1:9" x14ac:dyDescent="0.25">
      <c r="A103" s="248">
        <v>4</v>
      </c>
      <c r="B103" s="379" t="s">
        <v>141</v>
      </c>
      <c r="C103" s="378">
        <v>2</v>
      </c>
      <c r="D103" s="355" t="s">
        <v>108</v>
      </c>
      <c r="E103" s="310">
        <f t="shared" ref="E103:G104" si="8">IF(D103="S",$C103,)</f>
        <v>2</v>
      </c>
      <c r="F103" s="487" t="s">
        <v>108</v>
      </c>
      <c r="G103" s="310">
        <f t="shared" si="8"/>
        <v>2</v>
      </c>
      <c r="H103" s="378" t="s">
        <v>108</v>
      </c>
      <c r="I103" s="310">
        <f t="shared" ref="I103:I104" si="9">IF(H103="S",$C103,)</f>
        <v>2</v>
      </c>
    </row>
    <row r="104" spans="1:9" x14ac:dyDescent="0.25">
      <c r="A104" s="371"/>
      <c r="B104" s="379" t="s">
        <v>104</v>
      </c>
      <c r="C104" s="378">
        <v>0</v>
      </c>
      <c r="D104" s="378"/>
      <c r="E104" s="310">
        <f t="shared" si="8"/>
        <v>0</v>
      </c>
      <c r="F104" s="487"/>
      <c r="G104" s="310">
        <f t="shared" si="8"/>
        <v>0</v>
      </c>
      <c r="H104" s="379"/>
      <c r="I104" s="310">
        <f t="shared" si="9"/>
        <v>0</v>
      </c>
    </row>
    <row r="105" spans="1:9" x14ac:dyDescent="0.25">
      <c r="A105" s="106" t="s">
        <v>171</v>
      </c>
      <c r="B105" s="193" t="s">
        <v>550</v>
      </c>
      <c r="C105" s="376">
        <v>2</v>
      </c>
      <c r="D105" s="979">
        <v>10</v>
      </c>
      <c r="E105" s="1047">
        <f>IF(D105&gt;10,$C105,IF(D105&gt;0,$C106,))</f>
        <v>1</v>
      </c>
      <c r="F105" s="979">
        <v>19</v>
      </c>
      <c r="G105" s="1047">
        <f>IF(F105&gt;10,$C105,IF(F105&gt;0,$C106,))</f>
        <v>2</v>
      </c>
      <c r="H105" s="979">
        <v>10</v>
      </c>
      <c r="I105" s="1047">
        <f>IF(H105&gt;10,$C105,IF(H105&gt;0,$C106,))</f>
        <v>1</v>
      </c>
    </row>
    <row r="106" spans="1:9" x14ac:dyDescent="0.25">
      <c r="A106" s="368">
        <v>2</v>
      </c>
      <c r="B106" s="380" t="s">
        <v>172</v>
      </c>
      <c r="C106" s="376">
        <v>1</v>
      </c>
      <c r="D106" s="980"/>
      <c r="E106" s="1047"/>
      <c r="F106" s="980"/>
      <c r="G106" s="1047"/>
      <c r="H106" s="980"/>
      <c r="I106" s="1047"/>
    </row>
    <row r="107" spans="1:9" x14ac:dyDescent="0.25">
      <c r="A107" s="246" t="s">
        <v>133</v>
      </c>
      <c r="B107" s="370" t="s">
        <v>132</v>
      </c>
      <c r="C107" s="378">
        <v>3</v>
      </c>
      <c r="D107" s="378"/>
      <c r="E107" s="369">
        <f>IF(D107="S",$C107,)</f>
        <v>0</v>
      </c>
      <c r="F107" s="487"/>
      <c r="G107" s="369">
        <f>IF(F107="S",$C107,)</f>
        <v>0</v>
      </c>
      <c r="H107" s="379"/>
      <c r="I107" s="369">
        <f>IF(H107="S",$C107,)</f>
        <v>0</v>
      </c>
    </row>
    <row r="108" spans="1:9" x14ac:dyDescent="0.25">
      <c r="A108" s="370">
        <v>5</v>
      </c>
      <c r="B108" s="379" t="s">
        <v>128</v>
      </c>
      <c r="C108" s="378">
        <v>2</v>
      </c>
      <c r="D108" s="355" t="s">
        <v>108</v>
      </c>
      <c r="E108" s="369">
        <f t="shared" ref="E108:I110" si="10">IF(D108="S",$C108,)</f>
        <v>2</v>
      </c>
      <c r="F108" s="543"/>
      <c r="G108" s="369">
        <f t="shared" si="10"/>
        <v>0</v>
      </c>
      <c r="H108" s="543" t="s">
        <v>108</v>
      </c>
      <c r="I108" s="538">
        <f t="shared" si="10"/>
        <v>2</v>
      </c>
    </row>
    <row r="109" spans="1:9" x14ac:dyDescent="0.25">
      <c r="A109" s="370"/>
      <c r="B109" s="379" t="s">
        <v>134</v>
      </c>
      <c r="C109" s="378">
        <v>1</v>
      </c>
      <c r="D109" s="378"/>
      <c r="E109" s="369">
        <f t="shared" si="10"/>
        <v>0</v>
      </c>
      <c r="F109" s="543" t="s">
        <v>108</v>
      </c>
      <c r="G109" s="369">
        <f t="shared" si="10"/>
        <v>1</v>
      </c>
      <c r="H109" s="543"/>
      <c r="I109" s="369">
        <f t="shared" ref="I109:I110" si="11">IF(H109="S",$C109,)</f>
        <v>0</v>
      </c>
    </row>
    <row r="110" spans="1:9" x14ac:dyDescent="0.25">
      <c r="A110" s="371"/>
      <c r="B110" s="511" t="s">
        <v>715</v>
      </c>
      <c r="C110" s="378">
        <v>2</v>
      </c>
      <c r="D110" s="378"/>
      <c r="E110" s="369">
        <f t="shared" si="10"/>
        <v>0</v>
      </c>
      <c r="F110" s="355" t="s">
        <v>108</v>
      </c>
      <c r="G110" s="369">
        <f t="shared" si="10"/>
        <v>2</v>
      </c>
      <c r="H110" s="378" t="s">
        <v>108</v>
      </c>
      <c r="I110" s="369">
        <f t="shared" si="11"/>
        <v>2</v>
      </c>
    </row>
    <row r="111" spans="1:9" x14ac:dyDescent="0.25">
      <c r="A111" s="106" t="s">
        <v>135</v>
      </c>
      <c r="B111" s="380" t="s">
        <v>136</v>
      </c>
      <c r="C111" s="376">
        <v>5</v>
      </c>
      <c r="D111" s="114" t="s">
        <v>108</v>
      </c>
      <c r="E111" s="992">
        <f>IF(D111="s",$C111,IF(D112="S",$C112,IF(D113="S",$C113,)))</f>
        <v>5</v>
      </c>
      <c r="F111" s="483"/>
      <c r="G111" s="992">
        <f>IF(F111="s",$C111,IF(F112="S",$C112,IF(F113="S",$C113,)))</f>
        <v>2</v>
      </c>
      <c r="H111" s="380"/>
      <c r="I111" s="992">
        <f>IF(H111="s",$C111,IF(H112="S",$C112,IF(H113="S",$C113,)))</f>
        <v>2</v>
      </c>
    </row>
    <row r="112" spans="1:9" x14ac:dyDescent="0.25">
      <c r="A112" s="107">
        <v>5</v>
      </c>
      <c r="B112" s="380" t="s">
        <v>137</v>
      </c>
      <c r="C112" s="376">
        <v>4</v>
      </c>
      <c r="D112" s="114"/>
      <c r="E112" s="1037"/>
      <c r="F112" s="483"/>
      <c r="G112" s="1037"/>
      <c r="H112" s="380"/>
      <c r="I112" s="1037"/>
    </row>
    <row r="113" spans="1:9" x14ac:dyDescent="0.25">
      <c r="A113" s="107"/>
      <c r="B113" s="380" t="s">
        <v>138</v>
      </c>
      <c r="C113" s="376">
        <v>2</v>
      </c>
      <c r="D113" s="376"/>
      <c r="E113" s="993"/>
      <c r="F113" s="483" t="s">
        <v>108</v>
      </c>
      <c r="G113" s="993"/>
      <c r="H113" s="376" t="s">
        <v>108</v>
      </c>
      <c r="I113" s="993"/>
    </row>
    <row r="114" spans="1:9" x14ac:dyDescent="0.25">
      <c r="A114" s="238" t="s">
        <v>1126</v>
      </c>
      <c r="B114" s="207" t="s">
        <v>104</v>
      </c>
      <c r="C114" s="916">
        <v>0</v>
      </c>
      <c r="D114" s="355" t="s">
        <v>108</v>
      </c>
      <c r="E114" s="976">
        <f>IF(D114="S",$C114,IF(D115="S",$C115,))</f>
        <v>0</v>
      </c>
      <c r="F114" s="355" t="s">
        <v>108</v>
      </c>
      <c r="G114" s="976">
        <f>IF(F114="S",$C114,IF(F115="S",$C115,))</f>
        <v>0</v>
      </c>
      <c r="H114" s="207"/>
      <c r="I114" s="976">
        <f>IF(H114="S",$C114,IF(H115="S",$C115,))</f>
        <v>5</v>
      </c>
    </row>
    <row r="115" spans="1:9" x14ac:dyDescent="0.25">
      <c r="A115" s="293">
        <v>5</v>
      </c>
      <c r="B115" s="207" t="s">
        <v>141</v>
      </c>
      <c r="C115" s="916">
        <v>5</v>
      </c>
      <c r="D115" s="355"/>
      <c r="E115" s="978"/>
      <c r="F115" s="355"/>
      <c r="G115" s="978"/>
      <c r="H115" s="355" t="s">
        <v>108</v>
      </c>
      <c r="I115" s="978"/>
    </row>
    <row r="116" spans="1:9" x14ac:dyDescent="0.25">
      <c r="A116" s="73" t="s">
        <v>50</v>
      </c>
      <c r="B116" s="919">
        <f>SUM(A83:A115)</f>
        <v>45</v>
      </c>
      <c r="C116" s="74"/>
      <c r="D116" s="74"/>
      <c r="E116" s="74">
        <f>SUM(E83:E114)</f>
        <v>34</v>
      </c>
      <c r="F116" s="74"/>
      <c r="G116" s="74">
        <f>SUM(G83:G115)</f>
        <v>27</v>
      </c>
      <c r="H116" s="73"/>
      <c r="I116" s="74">
        <f>SUM(I83:I115)</f>
        <v>32</v>
      </c>
    </row>
    <row r="117" spans="1:9" x14ac:dyDescent="0.25">
      <c r="A117" s="112"/>
      <c r="C117" s="88"/>
      <c r="D117" s="88"/>
      <c r="E117" s="88"/>
      <c r="F117" s="88"/>
      <c r="G117" s="111"/>
      <c r="H117" s="112"/>
      <c r="I117" s="111"/>
    </row>
    <row r="118" spans="1:9" ht="27.75" customHeight="1" x14ac:dyDescent="0.25">
      <c r="A118"/>
      <c r="B118"/>
      <c r="C118" s="27"/>
      <c r="D118" s="1049" t="str">
        <f>Empresas!$A$56</f>
        <v>LAUSAN</v>
      </c>
      <c r="E118" s="1050"/>
      <c r="F118" s="1049" t="str">
        <f>Empresas!$A$57</f>
        <v>MUEBLES TINAS</v>
      </c>
      <c r="G118" s="1050"/>
      <c r="H118" s="1049" t="str">
        <f>Empresas!$A$59</f>
        <v>OFITA INTERIORES (JOCAFRI)</v>
      </c>
      <c r="I118" s="1050"/>
    </row>
    <row r="119" spans="1:9" x14ac:dyDescent="0.25">
      <c r="A119" s="177" t="s">
        <v>521</v>
      </c>
      <c r="B119" s="64"/>
      <c r="C119" s="65"/>
      <c r="D119" s="65"/>
      <c r="E119" s="65"/>
      <c r="F119" s="65"/>
      <c r="G119" s="65"/>
      <c r="H119" s="64"/>
      <c r="I119" s="65"/>
    </row>
    <row r="120" spans="1:9" x14ac:dyDescent="0.25">
      <c r="A120" s="177" t="s">
        <v>522</v>
      </c>
      <c r="B120" s="64"/>
      <c r="C120" s="65"/>
      <c r="D120" s="65"/>
      <c r="E120" s="65"/>
      <c r="F120" s="65"/>
      <c r="G120" s="65"/>
      <c r="H120" s="64"/>
      <c r="I120" s="65"/>
    </row>
    <row r="121" spans="1:9" x14ac:dyDescent="0.25">
      <c r="A121" s="177" t="s">
        <v>523</v>
      </c>
      <c r="B121" s="64"/>
      <c r="C121" s="65"/>
      <c r="D121" s="65"/>
      <c r="E121" s="65"/>
      <c r="F121" s="65"/>
      <c r="G121" s="65"/>
      <c r="H121" s="64"/>
      <c r="I121" s="65"/>
    </row>
    <row r="122" spans="1:9" x14ac:dyDescent="0.25">
      <c r="A122" s="121" t="s">
        <v>146</v>
      </c>
      <c r="B122" s="201" t="s">
        <v>676</v>
      </c>
      <c r="C122" s="482">
        <f>A123</f>
        <v>6</v>
      </c>
      <c r="D122" s="976">
        <v>60</v>
      </c>
      <c r="E122" s="1029">
        <f>IF(D122 &gt;79.9,$C122,IF(D122&gt;59.9,$C123,IF(D122&gt;0,$C124,)))</f>
        <v>4</v>
      </c>
      <c r="F122" s="1029">
        <v>40</v>
      </c>
      <c r="G122" s="1029">
        <f>IF(F122 &gt;79.9,$C122,IF(F122&gt;59.9,$C123,IF(F122&gt;0,$C124,)))</f>
        <v>2</v>
      </c>
      <c r="H122" s="976">
        <v>50</v>
      </c>
      <c r="I122" s="1029">
        <f>IF(H122 &gt;79.9,$C122,IF(H122&gt;59.9,$C123,IF(H122&gt;0,$C124,)))</f>
        <v>2</v>
      </c>
    </row>
    <row r="123" spans="1:9" ht="13.8" x14ac:dyDescent="0.3">
      <c r="A123" s="251">
        <v>6</v>
      </c>
      <c r="B123" s="201" t="s">
        <v>675</v>
      </c>
      <c r="C123" s="482">
        <v>4</v>
      </c>
      <c r="D123" s="977"/>
      <c r="E123" s="1030"/>
      <c r="F123" s="1030"/>
      <c r="G123" s="1030"/>
      <c r="H123" s="977"/>
      <c r="I123" s="1030"/>
    </row>
    <row r="124" spans="1:9" ht="13.8" x14ac:dyDescent="0.3">
      <c r="A124" s="252"/>
      <c r="B124" s="201" t="s">
        <v>677</v>
      </c>
      <c r="C124" s="482">
        <v>2</v>
      </c>
      <c r="D124" s="978"/>
      <c r="E124" s="1033"/>
      <c r="F124" s="1033"/>
      <c r="G124" s="1033"/>
      <c r="H124" s="978"/>
      <c r="I124" s="1033"/>
    </row>
    <row r="125" spans="1:9" x14ac:dyDescent="0.25">
      <c r="A125" s="106" t="s">
        <v>147</v>
      </c>
      <c r="B125" s="75" t="s">
        <v>148</v>
      </c>
      <c r="C125" s="76">
        <f>A126</f>
        <v>8</v>
      </c>
      <c r="D125" s="76"/>
      <c r="E125" s="979">
        <f>IF(D125="S",$C125,IF(D126="S",$C126,IF(D127="S",$C127,)))</f>
        <v>6</v>
      </c>
      <c r="F125" s="480"/>
      <c r="G125" s="979">
        <f>IF(F125="S",$C125,IF(F126="S",$C126,IF(F127="S",$C127,)))</f>
        <v>6</v>
      </c>
      <c r="H125" s="377"/>
      <c r="I125" s="979">
        <f>IF(H125="S",$C125,IF(H126="S",$C126,IF(H127="S",$C127,)))</f>
        <v>6</v>
      </c>
    </row>
    <row r="126" spans="1:9" x14ac:dyDescent="0.25">
      <c r="A126" s="249">
        <v>8</v>
      </c>
      <c r="B126" s="75" t="s">
        <v>127</v>
      </c>
      <c r="C126" s="76">
        <v>6</v>
      </c>
      <c r="D126" s="376" t="s">
        <v>108</v>
      </c>
      <c r="E126" s="980"/>
      <c r="F126" s="480" t="s">
        <v>108</v>
      </c>
      <c r="G126" s="980"/>
      <c r="H126" s="377" t="s">
        <v>108</v>
      </c>
      <c r="I126" s="980"/>
    </row>
    <row r="127" spans="1:9" x14ac:dyDescent="0.25">
      <c r="A127" s="250"/>
      <c r="B127" s="75" t="s">
        <v>101</v>
      </c>
      <c r="C127" s="76">
        <v>1</v>
      </c>
      <c r="D127" s="76"/>
      <c r="E127" s="981"/>
      <c r="F127" s="480"/>
      <c r="G127" s="981"/>
      <c r="H127" s="377"/>
      <c r="I127" s="981"/>
    </row>
    <row r="128" spans="1:9" x14ac:dyDescent="0.25">
      <c r="A128" s="246" t="s">
        <v>149</v>
      </c>
      <c r="B128" s="115" t="s">
        <v>150</v>
      </c>
      <c r="C128" s="116">
        <f>A126</f>
        <v>8</v>
      </c>
      <c r="D128" s="378" t="s">
        <v>108</v>
      </c>
      <c r="E128" s="314">
        <f>IF(D128="S",$C128,)</f>
        <v>8</v>
      </c>
      <c r="F128" s="481"/>
      <c r="G128" s="314">
        <f>IF(F128="S",$C128,)</f>
        <v>0</v>
      </c>
      <c r="H128" s="481" t="s">
        <v>108</v>
      </c>
      <c r="I128" s="314">
        <f>IF(H128="S",$C128,)</f>
        <v>8</v>
      </c>
    </row>
    <row r="129" spans="1:9" x14ac:dyDescent="0.25">
      <c r="A129" s="248"/>
      <c r="B129" s="115" t="s">
        <v>623</v>
      </c>
      <c r="C129" s="198">
        <v>6</v>
      </c>
      <c r="D129" s="260"/>
      <c r="E129" s="314">
        <f t="shared" ref="E129:G132" si="12">IF(D129="S",$C129,)</f>
        <v>0</v>
      </c>
      <c r="F129" s="392"/>
      <c r="G129" s="314">
        <f t="shared" si="12"/>
        <v>0</v>
      </c>
      <c r="H129" s="392"/>
      <c r="I129" s="314">
        <f t="shared" ref="I129:I132" si="13">IF(H129="S",$C129,)</f>
        <v>0</v>
      </c>
    </row>
    <row r="130" spans="1:9" x14ac:dyDescent="0.25">
      <c r="A130" s="239">
        <v>8</v>
      </c>
      <c r="B130" s="119" t="s">
        <v>112</v>
      </c>
      <c r="C130" s="198">
        <v>4</v>
      </c>
      <c r="D130" s="260"/>
      <c r="E130" s="314">
        <f t="shared" si="12"/>
        <v>0</v>
      </c>
      <c r="F130" s="392"/>
      <c r="G130" s="314">
        <f t="shared" si="12"/>
        <v>0</v>
      </c>
      <c r="H130" s="392"/>
      <c r="I130" s="314">
        <f t="shared" si="13"/>
        <v>0</v>
      </c>
    </row>
    <row r="131" spans="1:9" x14ac:dyDescent="0.25">
      <c r="A131" s="239"/>
      <c r="B131" s="119" t="s">
        <v>113</v>
      </c>
      <c r="C131" s="198">
        <v>2</v>
      </c>
      <c r="D131" s="260"/>
      <c r="E131" s="314">
        <f t="shared" si="12"/>
        <v>0</v>
      </c>
      <c r="F131" s="392"/>
      <c r="G131" s="314">
        <f t="shared" si="12"/>
        <v>0</v>
      </c>
      <c r="H131" s="392"/>
      <c r="I131" s="314">
        <f t="shared" si="13"/>
        <v>0</v>
      </c>
    </row>
    <row r="132" spans="1:9" x14ac:dyDescent="0.25">
      <c r="A132" s="239"/>
      <c r="B132" s="119" t="s">
        <v>98</v>
      </c>
      <c r="C132" s="198">
        <v>1</v>
      </c>
      <c r="D132" s="260"/>
      <c r="E132" s="314">
        <f t="shared" si="12"/>
        <v>0</v>
      </c>
      <c r="F132" s="392" t="s">
        <v>108</v>
      </c>
      <c r="G132" s="314">
        <f t="shared" si="12"/>
        <v>1</v>
      </c>
      <c r="H132" s="392"/>
      <c r="I132" s="314">
        <f t="shared" si="13"/>
        <v>0</v>
      </c>
    </row>
    <row r="133" spans="1:9" x14ac:dyDescent="0.25">
      <c r="A133" s="106" t="s">
        <v>114</v>
      </c>
      <c r="B133" s="193" t="s">
        <v>617</v>
      </c>
      <c r="C133" s="318">
        <f>A134</f>
        <v>8</v>
      </c>
      <c r="D133" s="979">
        <v>25</v>
      </c>
      <c r="E133" s="979">
        <f>IF(D133&gt;24,$C133,IF(D133&gt;19,$C134,IF(D133&gt;0,$C135,IF(D133=0,"0"))))</f>
        <v>8</v>
      </c>
      <c r="F133" s="979">
        <v>30</v>
      </c>
      <c r="G133" s="979">
        <f>IF(F133&gt;24,$C133,IF(F133&gt;19,$C134,IF(F133&gt;0,$C135,IF(F133=0,"0"))))</f>
        <v>8</v>
      </c>
      <c r="H133" s="979">
        <v>25</v>
      </c>
      <c r="I133" s="979">
        <f>IF(H133&gt;24,$C133,IF(H133&gt;19,$C134,IF(H133&gt;0,$C135,IF(H133=0,"0"))))</f>
        <v>8</v>
      </c>
    </row>
    <row r="134" spans="1:9" x14ac:dyDescent="0.25">
      <c r="A134" s="107">
        <v>8</v>
      </c>
      <c r="B134" s="193" t="s">
        <v>616</v>
      </c>
      <c r="C134" s="318">
        <v>2</v>
      </c>
      <c r="D134" s="980"/>
      <c r="E134" s="980"/>
      <c r="F134" s="980"/>
      <c r="G134" s="980"/>
      <c r="H134" s="980"/>
      <c r="I134" s="980"/>
    </row>
    <row r="135" spans="1:9" x14ac:dyDescent="0.25">
      <c r="A135" s="250"/>
      <c r="B135" s="75" t="s">
        <v>117</v>
      </c>
      <c r="C135" s="318">
        <v>0</v>
      </c>
      <c r="D135" s="981"/>
      <c r="E135" s="981"/>
      <c r="F135" s="981"/>
      <c r="G135" s="981"/>
      <c r="H135" s="981"/>
      <c r="I135" s="981"/>
    </row>
    <row r="136" spans="1:9" x14ac:dyDescent="0.25">
      <c r="A136" s="246" t="s">
        <v>164</v>
      </c>
      <c r="B136" s="245" t="s">
        <v>165</v>
      </c>
      <c r="C136" s="182">
        <f>A137</f>
        <v>5</v>
      </c>
      <c r="D136" s="355" t="s">
        <v>108</v>
      </c>
      <c r="E136" s="976">
        <f>IF(D136="S",$C136,IF(D137="S",$C137,IF(D138="S",$C138,)))</f>
        <v>5</v>
      </c>
      <c r="F136" s="481"/>
      <c r="G136" s="976">
        <f>IF(F136="S",$C136,IF(F137="S",$C137,IF(F138="S",$C138,)))</f>
        <v>3</v>
      </c>
      <c r="H136" s="373"/>
      <c r="I136" s="976">
        <f>IF(H136="S",$C136,IF(H137="S",$C137,IF(H138="S",$C138,)))</f>
        <v>3</v>
      </c>
    </row>
    <row r="137" spans="1:9" x14ac:dyDescent="0.25">
      <c r="A137" s="239">
        <v>5</v>
      </c>
      <c r="B137" s="245" t="s">
        <v>58</v>
      </c>
      <c r="C137" s="182">
        <v>3</v>
      </c>
      <c r="D137" s="182"/>
      <c r="E137" s="977"/>
      <c r="F137" s="481" t="s">
        <v>108</v>
      </c>
      <c r="G137" s="977"/>
      <c r="H137" s="373" t="s">
        <v>108</v>
      </c>
      <c r="I137" s="977"/>
    </row>
    <row r="138" spans="1:9" x14ac:dyDescent="0.25">
      <c r="A138" s="261"/>
      <c r="B138" s="245" t="s">
        <v>166</v>
      </c>
      <c r="C138" s="182">
        <v>0</v>
      </c>
      <c r="D138" s="182"/>
      <c r="E138" s="978"/>
      <c r="F138" s="481"/>
      <c r="G138" s="978"/>
      <c r="H138" s="373"/>
      <c r="I138" s="978"/>
    </row>
    <row r="139" spans="1:9" s="357" customFormat="1" x14ac:dyDescent="0.25">
      <c r="A139" s="106" t="s">
        <v>48</v>
      </c>
      <c r="B139" s="75" t="s">
        <v>118</v>
      </c>
      <c r="C139" s="76">
        <f>A140</f>
        <v>5</v>
      </c>
      <c r="D139" s="114" t="s">
        <v>108</v>
      </c>
      <c r="E139" s="979">
        <f>IF(D139="S",$C139,IF(D140="S",$C140,IF(D141="S",$C141,)))</f>
        <v>5</v>
      </c>
      <c r="F139" s="480" t="s">
        <v>108</v>
      </c>
      <c r="G139" s="979">
        <f>IF(F139="S",$C139,IF(F140="S",$C140,IF(F141="S",$C141,)))</f>
        <v>5</v>
      </c>
      <c r="H139" s="377" t="s">
        <v>108</v>
      </c>
      <c r="I139" s="979">
        <f>IF(H139="S",$C139,IF(H140="S",$C140,IF(H141="S",$C141,)))</f>
        <v>5</v>
      </c>
    </row>
    <row r="140" spans="1:9" s="357" customFormat="1" x14ac:dyDescent="0.25">
      <c r="A140" s="311">
        <v>5</v>
      </c>
      <c r="B140" s="75" t="s">
        <v>120</v>
      </c>
      <c r="C140" s="76">
        <v>1</v>
      </c>
      <c r="D140" s="76"/>
      <c r="E140" s="980"/>
      <c r="F140" s="480"/>
      <c r="G140" s="980"/>
      <c r="H140" s="377"/>
      <c r="I140" s="980"/>
    </row>
    <row r="141" spans="1:9" s="357" customFormat="1" x14ac:dyDescent="0.25">
      <c r="A141" s="312"/>
      <c r="B141" s="75" t="s">
        <v>119</v>
      </c>
      <c r="C141" s="76">
        <v>0</v>
      </c>
      <c r="D141" s="76"/>
      <c r="E141" s="981"/>
      <c r="F141" s="480"/>
      <c r="G141" s="981"/>
      <c r="H141" s="377"/>
      <c r="I141" s="981"/>
    </row>
    <row r="142" spans="1:9" s="357" customFormat="1" x14ac:dyDescent="0.25">
      <c r="A142" s="442" t="s">
        <v>217</v>
      </c>
      <c r="B142" s="259" t="s">
        <v>678</v>
      </c>
      <c r="C142" s="487">
        <f>A143</f>
        <v>5</v>
      </c>
      <c r="D142" s="487" t="s">
        <v>108</v>
      </c>
      <c r="E142" s="474">
        <f>IF(D142="S",$C142,)</f>
        <v>5</v>
      </c>
      <c r="F142" s="481"/>
      <c r="G142" s="474">
        <f>IF(F142="S",$C142,)</f>
        <v>0</v>
      </c>
      <c r="H142" s="310" t="s">
        <v>108</v>
      </c>
      <c r="I142" s="474">
        <f>IF(H142="S",$C142,)</f>
        <v>5</v>
      </c>
    </row>
    <row r="143" spans="1:9" s="357" customFormat="1" x14ac:dyDescent="0.25">
      <c r="A143" s="475">
        <v>5</v>
      </c>
      <c r="B143" s="292" t="s">
        <v>679</v>
      </c>
      <c r="C143" s="487">
        <v>3</v>
      </c>
      <c r="D143" s="1048"/>
      <c r="E143" s="976">
        <f>IF(D143&gt;50,$C143,IF(D143&gt;0,$C144,IF(D144="0",$C144,)))</f>
        <v>0</v>
      </c>
      <c r="F143" s="976">
        <v>80</v>
      </c>
      <c r="G143" s="976">
        <f>IF(F143&gt;50,$C143,IF(F143&gt;0,$C144,IF(F144="0",$C144,)))</f>
        <v>3</v>
      </c>
      <c r="H143" s="1048"/>
      <c r="I143" s="976">
        <f>IF(H143&gt;50,$C143,IF(H143&gt;0,$C144,IF(H144="0",$C144,)))</f>
        <v>0</v>
      </c>
    </row>
    <row r="144" spans="1:9" s="357" customFormat="1" ht="13.8" x14ac:dyDescent="0.3">
      <c r="A144" s="476"/>
      <c r="B144" s="292" t="s">
        <v>674</v>
      </c>
      <c r="C144" s="487">
        <v>0</v>
      </c>
      <c r="D144" s="999"/>
      <c r="E144" s="978"/>
      <c r="F144" s="978"/>
      <c r="G144" s="978"/>
      <c r="H144" s="999"/>
      <c r="I144" s="978"/>
    </row>
    <row r="145" spans="1:11" x14ac:dyDescent="0.25">
      <c r="A145" s="72" t="s">
        <v>50</v>
      </c>
      <c r="B145" s="919">
        <f>SUM(A122:A143)</f>
        <v>45</v>
      </c>
      <c r="C145" s="74"/>
      <c r="D145" s="74"/>
      <c r="E145" s="74">
        <f>SUM(E122:E144)</f>
        <v>41</v>
      </c>
      <c r="F145" s="74"/>
      <c r="G145" s="74">
        <f>SUM(G122:G144)</f>
        <v>28</v>
      </c>
      <c r="H145" s="73"/>
      <c r="I145" s="74">
        <f>SUM(I122:I144)</f>
        <v>37</v>
      </c>
    </row>
    <row r="146" spans="1:11" x14ac:dyDescent="0.25">
      <c r="A146"/>
      <c r="B146"/>
      <c r="C146" s="27"/>
      <c r="D146" s="27"/>
      <c r="E146" s="27"/>
      <c r="F146" s="27"/>
      <c r="G146"/>
    </row>
    <row r="147" spans="1:11" ht="35.25" hidden="1" customHeight="1" x14ac:dyDescent="0.25"/>
    <row r="148" spans="1:11" hidden="1" x14ac:dyDescent="0.25"/>
    <row r="149" spans="1:11" ht="14.4" hidden="1" x14ac:dyDescent="0.3">
      <c r="A149" s="118" t="s">
        <v>209</v>
      </c>
      <c r="B149" s="917" t="s">
        <v>784</v>
      </c>
      <c r="C149" s="27"/>
      <c r="D149" s="917" t="s">
        <v>210</v>
      </c>
      <c r="E149" s="917"/>
      <c r="F149" s="917"/>
      <c r="G149"/>
      <c r="I149" s="917"/>
      <c r="J149" s="917"/>
      <c r="K149"/>
    </row>
    <row r="150" spans="1:11" hidden="1" x14ac:dyDescent="0.25">
      <c r="A150"/>
      <c r="B150"/>
      <c r="C150" s="27"/>
      <c r="D150"/>
      <c r="E150" s="96"/>
      <c r="F150"/>
      <c r="G150"/>
      <c r="I150"/>
      <c r="J150"/>
      <c r="K150"/>
    </row>
    <row r="151" spans="1:11" hidden="1" x14ac:dyDescent="0.25">
      <c r="A151"/>
      <c r="B151"/>
      <c r="C151" s="27"/>
      <c r="D151"/>
      <c r="E151" s="96"/>
      <c r="F151"/>
      <c r="G151"/>
      <c r="I151"/>
      <c r="J151"/>
      <c r="K151"/>
    </row>
    <row r="152" spans="1:11" hidden="1" x14ac:dyDescent="0.25">
      <c r="A152"/>
      <c r="B152"/>
      <c r="C152" s="27"/>
      <c r="D152"/>
      <c r="E152" s="96"/>
      <c r="F152"/>
      <c r="G152"/>
      <c r="I152"/>
      <c r="J152"/>
      <c r="K152"/>
    </row>
    <row r="153" spans="1:11" ht="14.4" hidden="1" x14ac:dyDescent="0.3">
      <c r="A153" s="118" t="s">
        <v>785</v>
      </c>
      <c r="B153" s="917" t="s">
        <v>786</v>
      </c>
      <c r="C153" s="917"/>
      <c r="D153" s="917" t="s">
        <v>787</v>
      </c>
      <c r="E153" s="917"/>
      <c r="F153" s="917"/>
      <c r="G153"/>
      <c r="I153" s="917"/>
      <c r="J153"/>
      <c r="K153"/>
    </row>
    <row r="154" spans="1:11" ht="14.4" hidden="1" x14ac:dyDescent="0.3">
      <c r="A154" s="118"/>
      <c r="B154" s="118"/>
      <c r="C154" s="27"/>
      <c r="D154" s="27"/>
      <c r="E154" s="27"/>
      <c r="F154" s="27"/>
      <c r="G154"/>
    </row>
    <row r="155" spans="1:11" hidden="1" x14ac:dyDescent="0.25"/>
  </sheetData>
  <mergeCells count="135">
    <mergeCell ref="E41:E44"/>
    <mergeCell ref="F41:F44"/>
    <mergeCell ref="G41:G44"/>
    <mergeCell ref="H41:H44"/>
    <mergeCell ref="I41:I44"/>
    <mergeCell ref="D143:D144"/>
    <mergeCell ref="E143:E144"/>
    <mergeCell ref="F143:F144"/>
    <mergeCell ref="G143:G144"/>
    <mergeCell ref="H143:H144"/>
    <mergeCell ref="I143:I144"/>
    <mergeCell ref="D97:D99"/>
    <mergeCell ref="D94:D96"/>
    <mergeCell ref="E94:E96"/>
    <mergeCell ref="E97:E99"/>
    <mergeCell ref="F94:F96"/>
    <mergeCell ref="E133:E135"/>
    <mergeCell ref="G133:G135"/>
    <mergeCell ref="E136:E138"/>
    <mergeCell ref="G136:G138"/>
    <mergeCell ref="E122:E124"/>
    <mergeCell ref="G122:G124"/>
    <mergeCell ref="E125:E127"/>
    <mergeCell ref="G125:G127"/>
    <mergeCell ref="E139:E141"/>
    <mergeCell ref="I94:I96"/>
    <mergeCell ref="F97:F99"/>
    <mergeCell ref="G97:G99"/>
    <mergeCell ref="H97:H99"/>
    <mergeCell ref="I97:I99"/>
    <mergeCell ref="I50:I51"/>
    <mergeCell ref="I52:I54"/>
    <mergeCell ref="I57:I58"/>
    <mergeCell ref="I59:I60"/>
    <mergeCell ref="I88:I90"/>
    <mergeCell ref="I91:I93"/>
    <mergeCell ref="F91:F93"/>
    <mergeCell ref="H91:H93"/>
    <mergeCell ref="D118:E118"/>
    <mergeCell ref="D133:D135"/>
    <mergeCell ref="F133:F135"/>
    <mergeCell ref="I139:I141"/>
    <mergeCell ref="H118:I118"/>
    <mergeCell ref="I105:I106"/>
    <mergeCell ref="I111:I113"/>
    <mergeCell ref="F52:F54"/>
    <mergeCell ref="H52:H54"/>
    <mergeCell ref="F57:F58"/>
    <mergeCell ref="D7:E7"/>
    <mergeCell ref="E12:E14"/>
    <mergeCell ref="E15:E17"/>
    <mergeCell ref="E23:E25"/>
    <mergeCell ref="G111:G113"/>
    <mergeCell ref="F118:G118"/>
    <mergeCell ref="G83:G87"/>
    <mergeCell ref="G88:G90"/>
    <mergeCell ref="G91:G93"/>
    <mergeCell ref="G100:G101"/>
    <mergeCell ref="G105:G106"/>
    <mergeCell ref="G52:G54"/>
    <mergeCell ref="G57:G58"/>
    <mergeCell ref="G59:G60"/>
    <mergeCell ref="F7:G7"/>
    <mergeCell ref="G12:G14"/>
    <mergeCell ref="G15:G17"/>
    <mergeCell ref="G23:G25"/>
    <mergeCell ref="F76:G76"/>
    <mergeCell ref="G26:G28"/>
    <mergeCell ref="G29:G30"/>
    <mergeCell ref="G31:G33"/>
    <mergeCell ref="F37:F38"/>
    <mergeCell ref="D41:D44"/>
    <mergeCell ref="H57:H58"/>
    <mergeCell ref="G50:G51"/>
    <mergeCell ref="H76:I76"/>
    <mergeCell ref="I83:I87"/>
    <mergeCell ref="H7:I7"/>
    <mergeCell ref="I12:I14"/>
    <mergeCell ref="I15:I17"/>
    <mergeCell ref="I23:I25"/>
    <mergeCell ref="I26:I28"/>
    <mergeCell ref="I29:I30"/>
    <mergeCell ref="I31:I33"/>
    <mergeCell ref="H48:I48"/>
    <mergeCell ref="I69:I70"/>
    <mergeCell ref="I37:I38"/>
    <mergeCell ref="H37:H38"/>
    <mergeCell ref="D12:D14"/>
    <mergeCell ref="F12:F14"/>
    <mergeCell ref="H12:H14"/>
    <mergeCell ref="D122:D124"/>
    <mergeCell ref="F122:F124"/>
    <mergeCell ref="H122:H124"/>
    <mergeCell ref="D105:D106"/>
    <mergeCell ref="D76:E76"/>
    <mergeCell ref="E50:E51"/>
    <mergeCell ref="E52:E54"/>
    <mergeCell ref="E57:E58"/>
    <mergeCell ref="E59:E60"/>
    <mergeCell ref="E83:E87"/>
    <mergeCell ref="E88:E90"/>
    <mergeCell ref="E91:E93"/>
    <mergeCell ref="E100:E101"/>
    <mergeCell ref="D52:D54"/>
    <mergeCell ref="D57:D58"/>
    <mergeCell ref="E26:E28"/>
    <mergeCell ref="E29:E30"/>
    <mergeCell ref="E31:E33"/>
    <mergeCell ref="D48:E48"/>
    <mergeCell ref="H94:H96"/>
    <mergeCell ref="E37:E38"/>
    <mergeCell ref="I114:I115"/>
    <mergeCell ref="E105:E106"/>
    <mergeCell ref="E69:E70"/>
    <mergeCell ref="D91:D93"/>
    <mergeCell ref="E111:E113"/>
    <mergeCell ref="D23:D25"/>
    <mergeCell ref="G139:G141"/>
    <mergeCell ref="G94:G96"/>
    <mergeCell ref="F105:F106"/>
    <mergeCell ref="H105:H106"/>
    <mergeCell ref="H133:H135"/>
    <mergeCell ref="F23:F25"/>
    <mergeCell ref="H23:H25"/>
    <mergeCell ref="G69:G70"/>
    <mergeCell ref="D37:D38"/>
    <mergeCell ref="G37:G38"/>
    <mergeCell ref="E114:E115"/>
    <mergeCell ref="G114:G115"/>
    <mergeCell ref="I122:I124"/>
    <mergeCell ref="I125:I127"/>
    <mergeCell ref="I133:I135"/>
    <mergeCell ref="I136:I138"/>
    <mergeCell ref="F48:G48"/>
    <mergeCell ref="I100:I101"/>
  </mergeCells>
  <phoneticPr fontId="33" type="noConversion"/>
  <printOptions horizontalCentered="1"/>
  <pageMargins left="0.31496062992125984" right="0.27559055118110237" top="0.98425196850393704" bottom="0.15748031496062992" header="0.15748031496062992" footer="0"/>
  <pageSetup paperSize="9" scale="60" fitToHeight="3" orientation="landscape" r:id="rId1"/>
  <headerFooter alignWithMargins="0">
    <oddHeader xml:space="preserve">&amp;L&amp;"Arial,Negrita"ANEXO I&amp;CLote 3: Mobiliario de despachos&amp;RPágina &amp;P de &amp;N
</oddHeader>
    <oddFooter>&amp;R Página &amp;P</oddFooter>
  </headerFooter>
  <rowBreaks count="3" manualBreakCount="3">
    <brk id="47" max="16383" man="1"/>
    <brk id="75" max="16383" man="1"/>
    <brk id="11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85" zoomScaleNormal="85" zoomScaleSheetLayoutView="100" workbookViewId="0">
      <selection activeCell="B53" sqref="B53:K54"/>
    </sheetView>
  </sheetViews>
  <sheetFormatPr baseColWidth="10" defaultRowHeight="13.2" x14ac:dyDescent="0.25"/>
  <cols>
    <col min="1" max="1" width="10.5546875" customWidth="1"/>
    <col min="2" max="2" width="49.109375" bestFit="1" customWidth="1"/>
    <col min="3" max="3" width="10.33203125" bestFit="1" customWidth="1"/>
    <col min="4" max="4" width="11.6640625" customWidth="1"/>
    <col min="5" max="5" width="11.33203125" customWidth="1"/>
    <col min="6" max="6" width="12.88671875" customWidth="1"/>
    <col min="12" max="12" width="13.33203125" customWidth="1"/>
  </cols>
  <sheetData>
    <row r="1" spans="1:11" x14ac:dyDescent="0.25">
      <c r="A1" s="16" t="str">
        <f>Empresas!A1</f>
        <v>EXPEDIENTE Nº 495/11</v>
      </c>
      <c r="B1" s="16"/>
      <c r="C1" s="16"/>
      <c r="D1" s="16"/>
      <c r="E1" s="16"/>
      <c r="F1" s="16"/>
    </row>
    <row r="2" spans="1:11" ht="13.8" thickBot="1" x14ac:dyDescent="0.3">
      <c r="A2" s="16" t="str">
        <f>Empresas!A2</f>
        <v>SUMINISTRO  E INSTALACIÓN DE DIVERSO EQUIPAMIENTO PARA EL EDIFICIO DE GOBIERNO</v>
      </c>
      <c r="B2" s="17"/>
      <c r="C2" s="17"/>
      <c r="E2" s="16"/>
      <c r="F2" s="16"/>
      <c r="G2" s="16"/>
    </row>
    <row r="3" spans="1:11" s="12" customFormat="1" x14ac:dyDescent="0.25">
      <c r="A3" s="2"/>
      <c r="B3" s="2"/>
      <c r="C3" s="2"/>
      <c r="D3" s="2"/>
      <c r="E3" s="16"/>
      <c r="F3" s="16"/>
    </row>
    <row r="4" spans="1:11" ht="13.8" x14ac:dyDescent="0.25">
      <c r="A4" s="78"/>
      <c r="B4" s="79"/>
      <c r="C4" s="79"/>
      <c r="D4" s="79"/>
      <c r="E4" s="15"/>
      <c r="F4" s="15"/>
      <c r="G4" s="15"/>
      <c r="H4" s="5"/>
    </row>
    <row r="5" spans="1:11" ht="14.25" customHeight="1" x14ac:dyDescent="0.25">
      <c r="A5" s="3" t="str">
        <f>Empresas!A64</f>
        <v>LOTE 4: MOBILIARIO GENERAL</v>
      </c>
      <c r="B5" s="3"/>
      <c r="C5" s="80"/>
      <c r="D5" s="4"/>
      <c r="F5" s="81">
        <f>Empresas!F64</f>
        <v>84494.07</v>
      </c>
      <c r="G5" s="6" t="s">
        <v>1</v>
      </c>
      <c r="H5" s="1">
        <v>45</v>
      </c>
    </row>
    <row r="6" spans="1:11" ht="14.25" customHeight="1" x14ac:dyDescent="0.25">
      <c r="A6" s="3"/>
      <c r="B6" s="3"/>
      <c r="C6" s="3"/>
      <c r="D6" s="4"/>
      <c r="E6" s="5"/>
      <c r="F6" s="6"/>
      <c r="G6" s="1"/>
    </row>
    <row r="7" spans="1:11" ht="39.6" x14ac:dyDescent="0.25">
      <c r="A7" s="55" t="s">
        <v>192</v>
      </c>
      <c r="B7" s="7" t="s">
        <v>6</v>
      </c>
      <c r="C7" s="7" t="s">
        <v>7</v>
      </c>
      <c r="D7" s="18" t="s">
        <v>54</v>
      </c>
      <c r="E7" s="18" t="s">
        <v>55</v>
      </c>
      <c r="F7" s="18" t="s">
        <v>111</v>
      </c>
      <c r="G7" s="8" t="s">
        <v>4</v>
      </c>
    </row>
    <row r="8" spans="1:11" x14ac:dyDescent="0.25">
      <c r="A8" s="13" t="s">
        <v>596</v>
      </c>
      <c r="B8" s="104" t="s">
        <v>609</v>
      </c>
      <c r="C8" s="42">
        <v>2</v>
      </c>
      <c r="D8" s="348">
        <f>E8/1.18</f>
        <v>254.23728813559325</v>
      </c>
      <c r="E8" s="349">
        <v>300</v>
      </c>
      <c r="F8" s="348">
        <f>C8*E8</f>
        <v>600</v>
      </c>
      <c r="G8" s="82">
        <f>(F8*100)/$F$24</f>
        <v>0.58205657638815234</v>
      </c>
      <c r="K8" s="113"/>
    </row>
    <row r="9" spans="1:11" x14ac:dyDescent="0.25">
      <c r="A9" s="13" t="s">
        <v>597</v>
      </c>
      <c r="B9" s="104" t="s">
        <v>99</v>
      </c>
      <c r="C9" s="42">
        <v>96</v>
      </c>
      <c r="D9" s="348">
        <f t="shared" ref="D9:D20" si="0">E9/1.18</f>
        <v>25.423728813559322</v>
      </c>
      <c r="E9" s="349">
        <v>30</v>
      </c>
      <c r="F9" s="348">
        <f t="shared" ref="F9:F20" si="1">C9*E9</f>
        <v>2880</v>
      </c>
      <c r="G9" s="82">
        <f t="shared" ref="G9:G20" si="2">(F9*100)/$F$24</f>
        <v>2.7938715666631313</v>
      </c>
      <c r="K9" s="113"/>
    </row>
    <row r="10" spans="1:11" x14ac:dyDescent="0.25">
      <c r="A10" s="13" t="s">
        <v>598</v>
      </c>
      <c r="B10" s="104" t="s">
        <v>536</v>
      </c>
      <c r="C10" s="42">
        <v>108</v>
      </c>
      <c r="D10" s="348">
        <f t="shared" si="0"/>
        <v>84.745762711864415</v>
      </c>
      <c r="E10" s="349">
        <v>100</v>
      </c>
      <c r="F10" s="348">
        <f t="shared" si="1"/>
        <v>10800</v>
      </c>
      <c r="G10" s="82">
        <f t="shared" si="2"/>
        <v>10.477018374986743</v>
      </c>
      <c r="K10" s="113"/>
    </row>
    <row r="11" spans="1:11" x14ac:dyDescent="0.25">
      <c r="A11" s="13" t="s">
        <v>599</v>
      </c>
      <c r="B11" s="104" t="s">
        <v>540</v>
      </c>
      <c r="C11" s="42">
        <v>2</v>
      </c>
      <c r="D11" s="348">
        <f t="shared" si="0"/>
        <v>593.22033898305085</v>
      </c>
      <c r="E11" s="349">
        <v>700</v>
      </c>
      <c r="F11" s="348">
        <f t="shared" si="1"/>
        <v>1400</v>
      </c>
      <c r="G11" s="82">
        <f t="shared" si="2"/>
        <v>1.3581320115723556</v>
      </c>
      <c r="K11" s="113"/>
    </row>
    <row r="12" spans="1:11" x14ac:dyDescent="0.25">
      <c r="A12" s="13" t="s">
        <v>600</v>
      </c>
      <c r="B12" s="104" t="s">
        <v>551</v>
      </c>
      <c r="C12" s="42">
        <v>18</v>
      </c>
      <c r="D12" s="348">
        <f t="shared" si="0"/>
        <v>194.91525423728814</v>
      </c>
      <c r="E12" s="349">
        <v>230</v>
      </c>
      <c r="F12" s="348">
        <f t="shared" si="1"/>
        <v>4140</v>
      </c>
      <c r="G12" s="82">
        <f t="shared" si="2"/>
        <v>4.0161903770782512</v>
      </c>
      <c r="J12" s="113"/>
    </row>
    <row r="13" spans="1:11" x14ac:dyDescent="0.25">
      <c r="A13" s="13" t="s">
        <v>601</v>
      </c>
      <c r="B13" s="104" t="s">
        <v>610</v>
      </c>
      <c r="C13" s="42">
        <v>1</v>
      </c>
      <c r="D13" s="348">
        <f t="shared" si="0"/>
        <v>423.72881355932208</v>
      </c>
      <c r="E13" s="349">
        <v>500</v>
      </c>
      <c r="F13" s="348">
        <f t="shared" si="1"/>
        <v>500</v>
      </c>
      <c r="G13" s="82">
        <f t="shared" si="2"/>
        <v>0.48504714699012696</v>
      </c>
      <c r="J13" s="113"/>
    </row>
    <row r="14" spans="1:11" x14ac:dyDescent="0.25">
      <c r="A14" s="13" t="s">
        <v>602</v>
      </c>
      <c r="B14" s="104" t="s">
        <v>553</v>
      </c>
      <c r="C14" s="42">
        <v>41</v>
      </c>
      <c r="D14" s="348">
        <f t="shared" si="0"/>
        <v>584.74576271186447</v>
      </c>
      <c r="E14" s="349">
        <v>690</v>
      </c>
      <c r="F14" s="348">
        <f t="shared" si="1"/>
        <v>28290</v>
      </c>
      <c r="G14" s="82">
        <f t="shared" si="2"/>
        <v>27.443967576701386</v>
      </c>
      <c r="J14" s="113"/>
    </row>
    <row r="15" spans="1:11" x14ac:dyDescent="0.25">
      <c r="A15" s="13" t="s">
        <v>603</v>
      </c>
      <c r="B15" s="104" t="s">
        <v>109</v>
      </c>
      <c r="C15" s="42">
        <v>129</v>
      </c>
      <c r="D15" s="348">
        <f t="shared" si="0"/>
        <v>144.06779661016949</v>
      </c>
      <c r="E15" s="349">
        <v>170</v>
      </c>
      <c r="F15" s="348">
        <f t="shared" si="1"/>
        <v>21930</v>
      </c>
      <c r="G15" s="82">
        <f t="shared" si="2"/>
        <v>21.274167866986971</v>
      </c>
      <c r="K15" s="113"/>
    </row>
    <row r="16" spans="1:11" x14ac:dyDescent="0.25">
      <c r="A16" s="13" t="s">
        <v>604</v>
      </c>
      <c r="B16" s="104" t="s">
        <v>611</v>
      </c>
      <c r="C16" s="42">
        <v>81</v>
      </c>
      <c r="D16" s="348">
        <f t="shared" si="0"/>
        <v>169.49152542372883</v>
      </c>
      <c r="E16" s="349">
        <v>200</v>
      </c>
      <c r="F16" s="348">
        <f t="shared" si="1"/>
        <v>16200</v>
      </c>
      <c r="G16" s="82">
        <f t="shared" si="2"/>
        <v>15.715527562480114</v>
      </c>
      <c r="K16" s="113"/>
    </row>
    <row r="17" spans="1:14" x14ac:dyDescent="0.25">
      <c r="A17" s="13" t="s">
        <v>605</v>
      </c>
      <c r="B17" s="104" t="s">
        <v>612</v>
      </c>
      <c r="C17" s="42">
        <v>25</v>
      </c>
      <c r="D17" s="348">
        <f t="shared" si="0"/>
        <v>347.4576271186441</v>
      </c>
      <c r="E17" s="349">
        <v>410</v>
      </c>
      <c r="F17" s="348">
        <f t="shared" si="1"/>
        <v>10250</v>
      </c>
      <c r="G17" s="82">
        <f t="shared" si="2"/>
        <v>9.9434665132976026</v>
      </c>
      <c r="K17" s="113"/>
    </row>
    <row r="18" spans="1:14" x14ac:dyDescent="0.25">
      <c r="A18" s="13" t="s">
        <v>606</v>
      </c>
      <c r="B18" s="104" t="s">
        <v>613</v>
      </c>
      <c r="C18" s="42">
        <v>7</v>
      </c>
      <c r="D18" s="348">
        <f t="shared" si="0"/>
        <v>254.23728813559325</v>
      </c>
      <c r="E18" s="349">
        <v>300</v>
      </c>
      <c r="F18" s="348">
        <f t="shared" si="1"/>
        <v>2100</v>
      </c>
      <c r="G18" s="82">
        <f t="shared" si="2"/>
        <v>2.0371980173585333</v>
      </c>
      <c r="K18" s="113"/>
    </row>
    <row r="19" spans="1:14" x14ac:dyDescent="0.25">
      <c r="A19" s="13" t="s">
        <v>607</v>
      </c>
      <c r="B19" s="104" t="s">
        <v>614</v>
      </c>
      <c r="C19" s="42">
        <v>4</v>
      </c>
      <c r="D19" s="348">
        <f t="shared" si="0"/>
        <v>42.372881355932208</v>
      </c>
      <c r="E19" s="349">
        <v>50</v>
      </c>
      <c r="F19" s="348">
        <f t="shared" si="1"/>
        <v>200</v>
      </c>
      <c r="G19" s="82">
        <f t="shared" si="2"/>
        <v>0.1940188587960508</v>
      </c>
      <c r="K19" s="113"/>
    </row>
    <row r="20" spans="1:14" x14ac:dyDescent="0.25">
      <c r="A20" s="13" t="s">
        <v>608</v>
      </c>
      <c r="B20" s="104" t="s">
        <v>615</v>
      </c>
      <c r="C20" s="42">
        <v>1</v>
      </c>
      <c r="D20" s="348">
        <f t="shared" si="0"/>
        <v>350</v>
      </c>
      <c r="E20" s="349">
        <v>413</v>
      </c>
      <c r="F20" s="348">
        <f t="shared" si="1"/>
        <v>413</v>
      </c>
      <c r="G20" s="82">
        <f t="shared" si="2"/>
        <v>0.40064894341384488</v>
      </c>
      <c r="K20" s="113"/>
    </row>
    <row r="21" spans="1:14" x14ac:dyDescent="0.25">
      <c r="A21" s="12"/>
      <c r="B21" s="436" t="s">
        <v>354</v>
      </c>
      <c r="C21" s="516">
        <v>1</v>
      </c>
      <c r="D21" s="499"/>
      <c r="E21" s="9">
        <f>F5/100</f>
        <v>844.94070000000011</v>
      </c>
      <c r="F21" s="60">
        <f>C21*E21</f>
        <v>844.94070000000011</v>
      </c>
      <c r="G21" s="61">
        <f>((F21*100)/$F$24)</f>
        <v>0.81967215182168163</v>
      </c>
      <c r="K21" s="113"/>
    </row>
    <row r="22" spans="1:14" x14ac:dyDescent="0.25">
      <c r="A22" s="12"/>
      <c r="B22" s="436" t="s">
        <v>654</v>
      </c>
      <c r="C22" s="516">
        <v>1</v>
      </c>
      <c r="D22" s="499"/>
      <c r="E22" s="9">
        <f>F5/100</f>
        <v>844.94070000000011</v>
      </c>
      <c r="F22" s="60">
        <f>C22*E22</f>
        <v>844.94070000000011</v>
      </c>
      <c r="G22" s="61">
        <f>((F22*100)/$F$24)</f>
        <v>0.81967215182168163</v>
      </c>
      <c r="K22" s="113"/>
    </row>
    <row r="23" spans="1:14" x14ac:dyDescent="0.25">
      <c r="A23" s="12"/>
      <c r="B23" s="436" t="s">
        <v>355</v>
      </c>
      <c r="C23" s="516">
        <v>1</v>
      </c>
      <c r="D23" s="499"/>
      <c r="E23" s="9">
        <f>(F5*2)/100</f>
        <v>1689.8814000000002</v>
      </c>
      <c r="F23" s="60">
        <f>C23*E23</f>
        <v>1689.8814000000002</v>
      </c>
      <c r="G23" s="61">
        <f>((F23*100)/$F$24)</f>
        <v>1.6393443036433633</v>
      </c>
      <c r="K23" s="113"/>
    </row>
    <row r="24" spans="1:14" x14ac:dyDescent="0.25">
      <c r="A24" s="12"/>
      <c r="B24" s="344"/>
      <c r="E24" s="11"/>
      <c r="F24" s="347">
        <f>SUM(F8:F23)</f>
        <v>103082.76280000001</v>
      </c>
      <c r="G24" s="346">
        <f>SUM(G8:G23)</f>
        <v>100</v>
      </c>
      <c r="K24" s="113"/>
    </row>
    <row r="25" spans="1:14" x14ac:dyDescent="0.25">
      <c r="A25" s="12"/>
      <c r="B25" s="344"/>
      <c r="E25" s="11"/>
      <c r="F25" s="345"/>
      <c r="G25" s="346"/>
      <c r="K25" s="113"/>
    </row>
    <row r="26" spans="1:14" x14ac:dyDescent="0.25">
      <c r="A26" s="1071" t="s">
        <v>9</v>
      </c>
      <c r="B26" s="1072"/>
      <c r="C26" s="1068" t="str">
        <f>Empresas!$A$68</f>
        <v>COMERCIAL DE INDUSTRIAS REUNIDAS</v>
      </c>
      <c r="D26" s="1069"/>
      <c r="E26" s="1069"/>
      <c r="F26" s="1070"/>
      <c r="G26" s="1068" t="str">
        <f>Empresas!$A$70</f>
        <v>LAUSAN</v>
      </c>
      <c r="H26" s="1069"/>
      <c r="I26" s="1069"/>
      <c r="J26" s="1070"/>
      <c r="K26" s="1068" t="str">
        <f>Empresas!$A$74</f>
        <v>SERVITEC</v>
      </c>
      <c r="L26" s="1069"/>
      <c r="M26" s="1069"/>
      <c r="N26" s="1070"/>
    </row>
    <row r="27" spans="1:14" ht="12.75" customHeight="1" x14ac:dyDescent="0.25">
      <c r="A27" s="520"/>
      <c r="B27" s="1073" t="s">
        <v>10</v>
      </c>
      <c r="C27" s="1044" t="s">
        <v>14</v>
      </c>
      <c r="D27" s="1044"/>
      <c r="E27" s="1044"/>
      <c r="F27" s="1044"/>
      <c r="G27" s="1044" t="s">
        <v>14</v>
      </c>
      <c r="H27" s="1044"/>
      <c r="I27" s="1044"/>
      <c r="J27" s="1044"/>
      <c r="K27" s="1044" t="s">
        <v>14</v>
      </c>
      <c r="L27" s="1044"/>
      <c r="M27" s="1044"/>
      <c r="N27" s="1044"/>
    </row>
    <row r="28" spans="1:14" ht="39.6" x14ac:dyDescent="0.25">
      <c r="A28" s="521"/>
      <c r="B28" s="1074"/>
      <c r="C28" s="517" t="s">
        <v>11</v>
      </c>
      <c r="D28" s="518" t="s">
        <v>12</v>
      </c>
      <c r="E28" s="517" t="s">
        <v>13</v>
      </c>
      <c r="F28" s="519" t="s">
        <v>190</v>
      </c>
      <c r="G28" s="517" t="s">
        <v>11</v>
      </c>
      <c r="H28" s="518" t="s">
        <v>12</v>
      </c>
      <c r="I28" s="517" t="s">
        <v>13</v>
      </c>
      <c r="J28" s="519" t="s">
        <v>190</v>
      </c>
      <c r="K28" s="517" t="s">
        <v>11</v>
      </c>
      <c r="L28" s="518" t="s">
        <v>12</v>
      </c>
      <c r="M28" s="517" t="s">
        <v>13</v>
      </c>
      <c r="N28" s="519" t="s">
        <v>190</v>
      </c>
    </row>
    <row r="29" spans="1:14" x14ac:dyDescent="0.25">
      <c r="A29" s="13" t="str">
        <f>A8</f>
        <v>A0124</v>
      </c>
      <c r="B29" s="13" t="str">
        <f>B8</f>
        <v>MESA DE 140X70 CM CON RUEDAS ELECTRIFICADA</v>
      </c>
      <c r="C29" s="24">
        <f>'Lote 4 - Items'!E28</f>
        <v>17</v>
      </c>
      <c r="D29" s="25">
        <f>G8</f>
        <v>0.58205657638815234</v>
      </c>
      <c r="E29" s="25">
        <f>(C29*D29)/100</f>
        <v>9.8949617985985908E-2</v>
      </c>
      <c r="F29" s="1046">
        <f>SUM(E29:E41)</f>
        <v>26.769092378265203</v>
      </c>
      <c r="G29" s="24">
        <f>'Lote 4 - Items'!G28</f>
        <v>43</v>
      </c>
      <c r="H29" s="25">
        <f>G8</f>
        <v>0.58205657638815234</v>
      </c>
      <c r="I29" s="25">
        <f>(G29*H29)/100</f>
        <v>0.25028432784690552</v>
      </c>
      <c r="J29" s="1046">
        <f>SUM(I29:I41)</f>
        <v>36.607914820071151</v>
      </c>
      <c r="K29" s="24">
        <f>'Lote 4 - Items'!I28</f>
        <v>33</v>
      </c>
      <c r="L29" s="25">
        <f>G8</f>
        <v>0.58205657638815234</v>
      </c>
      <c r="M29" s="25">
        <f>(K29*L29)/100</f>
        <v>0.19207867020809025</v>
      </c>
      <c r="N29" s="1046">
        <f>SUM(M29:M41)</f>
        <v>30.005220232610995</v>
      </c>
    </row>
    <row r="30" spans="1:14" x14ac:dyDescent="0.25">
      <c r="A30" s="13" t="str">
        <f t="shared" ref="A30:A41" si="3">A9</f>
        <v>A0201</v>
      </c>
      <c r="B30" s="13" t="str">
        <f t="shared" ref="B30:B41" si="4">B9</f>
        <v>PAPELERA DE DESPACHO</v>
      </c>
      <c r="C30" s="24">
        <f>'Lote 4 - Items'!E48</f>
        <v>37</v>
      </c>
      <c r="D30" s="25">
        <f t="shared" ref="D30:D41" si="5">G9</f>
        <v>2.7938715666631313</v>
      </c>
      <c r="E30" s="25">
        <f t="shared" ref="E30:E41" si="6">(C30*D30)/100</f>
        <v>1.0337324796653586</v>
      </c>
      <c r="F30" s="1046"/>
      <c r="G30" s="24">
        <f>'Lote 4 - Items'!G48</f>
        <v>38</v>
      </c>
      <c r="H30" s="25">
        <f t="shared" ref="H30:H41" si="7">G9</f>
        <v>2.7938715666631313</v>
      </c>
      <c r="I30" s="25">
        <f t="shared" ref="I30:I41" si="8">(G30*H30)/100</f>
        <v>1.0616711953319899</v>
      </c>
      <c r="J30" s="1046"/>
      <c r="K30" s="24">
        <f>'Lote 4 - Items'!I68</f>
        <v>22</v>
      </c>
      <c r="L30" s="25">
        <f t="shared" ref="L30:L41" si="9">G9</f>
        <v>2.7938715666631313</v>
      </c>
      <c r="M30" s="25">
        <f t="shared" ref="M30:M41" si="10">(K30*L30)/100</f>
        <v>0.6146517446658889</v>
      </c>
      <c r="N30" s="1046"/>
    </row>
    <row r="31" spans="1:14" x14ac:dyDescent="0.25">
      <c r="A31" s="13" t="str">
        <f t="shared" si="3"/>
        <v>A0202</v>
      </c>
      <c r="B31" s="13" t="str">
        <f t="shared" si="4"/>
        <v>PERCHERO DE PIE</v>
      </c>
      <c r="C31" s="24">
        <f>'Lote 4 - Items'!E68</f>
        <v>33</v>
      </c>
      <c r="D31" s="25">
        <f t="shared" si="5"/>
        <v>10.477018374986743</v>
      </c>
      <c r="E31" s="25">
        <f t="shared" si="6"/>
        <v>3.4574160637456255</v>
      </c>
      <c r="F31" s="1046"/>
      <c r="G31" s="24">
        <f>'Lote 4 - Items'!G68</f>
        <v>36</v>
      </c>
      <c r="H31" s="25">
        <f t="shared" si="7"/>
        <v>10.477018374986743</v>
      </c>
      <c r="I31" s="25">
        <f t="shared" si="8"/>
        <v>3.7717266149952273</v>
      </c>
      <c r="J31" s="1046"/>
      <c r="K31" s="24">
        <f>'Lote 4 - Items'!I68</f>
        <v>22</v>
      </c>
      <c r="L31" s="25">
        <f t="shared" si="9"/>
        <v>10.477018374986743</v>
      </c>
      <c r="M31" s="25">
        <f t="shared" si="10"/>
        <v>2.3049440424970835</v>
      </c>
      <c r="N31" s="1046"/>
    </row>
    <row r="32" spans="1:14" x14ac:dyDescent="0.25">
      <c r="A32" s="13" t="str">
        <f t="shared" si="3"/>
        <v>C0100</v>
      </c>
      <c r="B32" s="13" t="str">
        <f t="shared" si="4"/>
        <v>MOBILIARIO DE LECTURA DE PRENSA</v>
      </c>
      <c r="C32" s="24">
        <f>'Lote 4 - Items'!E102</f>
        <v>9</v>
      </c>
      <c r="D32" s="25">
        <f t="shared" si="5"/>
        <v>1.3581320115723556</v>
      </c>
      <c r="E32" s="25">
        <f t="shared" si="6"/>
        <v>0.122231881041512</v>
      </c>
      <c r="F32" s="1046"/>
      <c r="G32" s="24">
        <f>'Lote 4 - Items'!G102</f>
        <v>39</v>
      </c>
      <c r="H32" s="25">
        <f t="shared" si="7"/>
        <v>1.3581320115723556</v>
      </c>
      <c r="I32" s="25">
        <f t="shared" si="8"/>
        <v>0.52967148451321866</v>
      </c>
      <c r="J32" s="1046"/>
      <c r="K32" s="24">
        <f>'Lote 4 - Items'!I102</f>
        <v>20</v>
      </c>
      <c r="L32" s="25">
        <f t="shared" si="9"/>
        <v>1.3581320115723556</v>
      </c>
      <c r="M32" s="25">
        <f t="shared" si="10"/>
        <v>0.27162640231447116</v>
      </c>
      <c r="N32" s="1046"/>
    </row>
    <row r="33" spans="1:14" x14ac:dyDescent="0.25">
      <c r="A33" s="13" t="str">
        <f t="shared" si="3"/>
        <v>D0101</v>
      </c>
      <c r="B33" s="13" t="str">
        <f t="shared" si="4"/>
        <v>TAQUILLAS VESTUARIO</v>
      </c>
      <c r="C33" s="24">
        <f>'Lote 4 - Items'!E128</f>
        <v>39</v>
      </c>
      <c r="D33" s="25">
        <f t="shared" si="5"/>
        <v>4.0161903770782512</v>
      </c>
      <c r="E33" s="25">
        <f t="shared" si="6"/>
        <v>1.566314247060518</v>
      </c>
      <c r="F33" s="1046"/>
      <c r="G33" s="24">
        <f>'Lote 4 - Items'!G128</f>
        <v>42</v>
      </c>
      <c r="H33" s="25">
        <f t="shared" si="7"/>
        <v>4.0161903770782512</v>
      </c>
      <c r="I33" s="25">
        <f t="shared" si="8"/>
        <v>1.6867999583728654</v>
      </c>
      <c r="J33" s="1046"/>
      <c r="K33" s="24">
        <f>'Lote 4 - Items'!I128</f>
        <v>39</v>
      </c>
      <c r="L33" s="25">
        <f t="shared" si="9"/>
        <v>4.0161903770782512</v>
      </c>
      <c r="M33" s="25">
        <f t="shared" si="10"/>
        <v>1.566314247060518</v>
      </c>
      <c r="N33" s="1046"/>
    </row>
    <row r="34" spans="1:14" x14ac:dyDescent="0.25">
      <c r="A34" s="13" t="str">
        <f t="shared" si="3"/>
        <v>D0103</v>
      </c>
      <c r="B34" s="13" t="str">
        <f t="shared" si="4"/>
        <v>BANCO DE VESTUARIO CON PERCHA</v>
      </c>
      <c r="C34" s="24">
        <f>'Lote 4 - Items'!E151</f>
        <v>20</v>
      </c>
      <c r="D34" s="25">
        <f t="shared" si="5"/>
        <v>0.48504714699012696</v>
      </c>
      <c r="E34" s="25">
        <f t="shared" si="6"/>
        <v>9.7009429398025399E-2</v>
      </c>
      <c r="F34" s="1046"/>
      <c r="G34" s="24">
        <f>'Lote 4 - Items'!G151</f>
        <v>27</v>
      </c>
      <c r="H34" s="25">
        <f t="shared" si="7"/>
        <v>0.48504714699012696</v>
      </c>
      <c r="I34" s="25">
        <f t="shared" si="8"/>
        <v>0.13096272968733427</v>
      </c>
      <c r="J34" s="1046"/>
      <c r="K34" s="24">
        <f>'Lote 4 - Items'!I151</f>
        <v>7</v>
      </c>
      <c r="L34" s="25">
        <f t="shared" si="9"/>
        <v>0.48504714699012696</v>
      </c>
      <c r="M34" s="25">
        <f t="shared" si="10"/>
        <v>3.3953300289308888E-2</v>
      </c>
      <c r="N34" s="1046"/>
    </row>
    <row r="35" spans="1:14" x14ac:dyDescent="0.25">
      <c r="A35" s="13" t="str">
        <f t="shared" si="3"/>
        <v>E0301</v>
      </c>
      <c r="B35" s="13" t="str">
        <f t="shared" si="4"/>
        <v>BANCADAS DE ESPERA</v>
      </c>
      <c r="C35" s="24">
        <f>'Lote 4 - Items'!E169</f>
        <v>25</v>
      </c>
      <c r="D35" s="25">
        <f t="shared" si="5"/>
        <v>27.443967576701386</v>
      </c>
      <c r="E35" s="25">
        <f t="shared" si="6"/>
        <v>6.8609918941753456</v>
      </c>
      <c r="F35" s="1046"/>
      <c r="G35" s="24">
        <f>'Lote 4 - Items'!G169</f>
        <v>39</v>
      </c>
      <c r="H35" s="25">
        <f t="shared" si="7"/>
        <v>27.443967576701386</v>
      </c>
      <c r="I35" s="25">
        <f t="shared" si="8"/>
        <v>10.70314735491354</v>
      </c>
      <c r="J35" s="1046"/>
      <c r="K35" s="24">
        <f>'Lote 4 - Items'!I169</f>
        <v>34</v>
      </c>
      <c r="L35" s="25">
        <f t="shared" si="9"/>
        <v>27.443967576701386</v>
      </c>
      <c r="M35" s="25">
        <f t="shared" si="10"/>
        <v>9.3309489760784707</v>
      </c>
      <c r="N35" s="1046"/>
    </row>
    <row r="36" spans="1:14" x14ac:dyDescent="0.25">
      <c r="A36" s="13" t="str">
        <f t="shared" si="3"/>
        <v>E0302</v>
      </c>
      <c r="B36" s="13" t="str">
        <f t="shared" si="4"/>
        <v>PAPELERA DE PASILLO</v>
      </c>
      <c r="C36" s="24">
        <f>'Lote 4 - Items'!E188</f>
        <v>30</v>
      </c>
      <c r="D36" s="25">
        <f t="shared" si="5"/>
        <v>21.274167866986971</v>
      </c>
      <c r="E36" s="25">
        <f t="shared" si="6"/>
        <v>6.3822503600960907</v>
      </c>
      <c r="F36" s="1046"/>
      <c r="G36" s="24">
        <f>'Lote 4 - Items'!G188</f>
        <v>31</v>
      </c>
      <c r="H36" s="25">
        <f t="shared" si="7"/>
        <v>21.274167866986971</v>
      </c>
      <c r="I36" s="25">
        <f t="shared" si="8"/>
        <v>6.5949920387659606</v>
      </c>
      <c r="J36" s="1046"/>
      <c r="K36" s="24">
        <f>'Lote 4 - Items'!I188</f>
        <v>27</v>
      </c>
      <c r="L36" s="25">
        <f t="shared" si="9"/>
        <v>21.274167866986971</v>
      </c>
      <c r="M36" s="25">
        <f t="shared" si="10"/>
        <v>5.7440253240864818</v>
      </c>
      <c r="N36" s="1046"/>
    </row>
    <row r="37" spans="1:14" x14ac:dyDescent="0.25">
      <c r="A37" s="13" t="str">
        <f t="shared" si="3"/>
        <v>E0701</v>
      </c>
      <c r="B37" s="13" t="str">
        <f t="shared" si="4"/>
        <v>ESTANTERÍA METÁLICA GALVANIZADA</v>
      </c>
      <c r="C37" s="24">
        <f>'Lote 4 - Items'!E209</f>
        <v>21</v>
      </c>
      <c r="D37" s="25">
        <f t="shared" si="5"/>
        <v>15.715527562480114</v>
      </c>
      <c r="E37" s="25">
        <f t="shared" si="6"/>
        <v>3.3002607881208239</v>
      </c>
      <c r="F37" s="1046"/>
      <c r="G37" s="24">
        <f>'Lote 4 - Items'!G209</f>
        <v>43</v>
      </c>
      <c r="H37" s="25">
        <f t="shared" si="7"/>
        <v>15.715527562480114</v>
      </c>
      <c r="I37" s="25">
        <f t="shared" si="8"/>
        <v>6.7576768518664494</v>
      </c>
      <c r="J37" s="1046"/>
      <c r="K37" s="24">
        <f>'Lote 4 - Items'!I209</f>
        <v>43</v>
      </c>
      <c r="L37" s="25">
        <f t="shared" si="9"/>
        <v>15.715527562480114</v>
      </c>
      <c r="M37" s="25">
        <f t="shared" si="10"/>
        <v>6.7576768518664494</v>
      </c>
      <c r="N37" s="1046"/>
    </row>
    <row r="38" spans="1:14" x14ac:dyDescent="0.25">
      <c r="A38" s="13" t="str">
        <f t="shared" si="3"/>
        <v>E1201</v>
      </c>
      <c r="B38" s="13" t="str">
        <f t="shared" si="4"/>
        <v>TABLÓN DE ANUNCIOS DE CORCHO CON CRISTAL</v>
      </c>
      <c r="C38" s="24">
        <f>'Lote 4 - Items'!E236</f>
        <v>31</v>
      </c>
      <c r="D38" s="25">
        <f t="shared" si="5"/>
        <v>9.9434665132976026</v>
      </c>
      <c r="E38" s="25">
        <f t="shared" si="6"/>
        <v>3.082474619122257</v>
      </c>
      <c r="F38" s="1046"/>
      <c r="G38" s="24">
        <f>'Lote 4 - Items'!G236</f>
        <v>42</v>
      </c>
      <c r="H38" s="25">
        <f t="shared" si="7"/>
        <v>9.9434665132976026</v>
      </c>
      <c r="I38" s="25">
        <f t="shared" si="8"/>
        <v>4.1762559355849929</v>
      </c>
      <c r="J38" s="1046"/>
      <c r="K38" s="24">
        <f>'Lote 4 - Items'!I236</f>
        <v>25</v>
      </c>
      <c r="L38" s="25">
        <f t="shared" si="9"/>
        <v>9.9434665132976026</v>
      </c>
      <c r="M38" s="25">
        <f t="shared" si="10"/>
        <v>2.4858666283244006</v>
      </c>
      <c r="N38" s="1046"/>
    </row>
    <row r="39" spans="1:14" x14ac:dyDescent="0.25">
      <c r="A39" s="13" t="str">
        <f t="shared" si="3"/>
        <v>E1202</v>
      </c>
      <c r="B39" s="13" t="str">
        <f t="shared" si="4"/>
        <v>TABLON DE CORCHO CON PATAS</v>
      </c>
      <c r="C39" s="24">
        <f>'Lote 4 - Items'!E257</f>
        <v>30</v>
      </c>
      <c r="D39" s="25">
        <f t="shared" si="5"/>
        <v>2.0371980173585333</v>
      </c>
      <c r="E39" s="25">
        <f t="shared" si="6"/>
        <v>0.61115940520755996</v>
      </c>
      <c r="F39" s="1046"/>
      <c r="G39" s="24">
        <f>'Lote 4 - Items'!G257</f>
        <v>34</v>
      </c>
      <c r="H39" s="25">
        <f t="shared" si="7"/>
        <v>2.0371980173585333</v>
      </c>
      <c r="I39" s="25">
        <f t="shared" si="8"/>
        <v>0.69264732590190137</v>
      </c>
      <c r="J39" s="1046"/>
      <c r="K39" s="24">
        <f>'Lote 4 - Items'!I257</f>
        <v>24</v>
      </c>
      <c r="L39" s="25">
        <f t="shared" si="9"/>
        <v>2.0371980173585333</v>
      </c>
      <c r="M39" s="25">
        <f t="shared" si="10"/>
        <v>0.48892752416604801</v>
      </c>
      <c r="N39" s="1046"/>
    </row>
    <row r="40" spans="1:14" x14ac:dyDescent="0.25">
      <c r="A40" s="13" t="str">
        <f t="shared" si="3"/>
        <v>E1301</v>
      </c>
      <c r="B40" s="13" t="str">
        <f t="shared" si="4"/>
        <v>PERCHEROS DE PARED</v>
      </c>
      <c r="C40" s="24">
        <f>'Lote 4 - Items'!E279</f>
        <v>31</v>
      </c>
      <c r="D40" s="25">
        <f t="shared" si="5"/>
        <v>0.1940188587960508</v>
      </c>
      <c r="E40" s="25">
        <f t="shared" si="6"/>
        <v>6.0145846226775747E-2</v>
      </c>
      <c r="F40" s="1046"/>
      <c r="G40" s="24">
        <f>'Lote 4 - Items'!G279</f>
        <v>37</v>
      </c>
      <c r="H40" s="25">
        <f t="shared" si="7"/>
        <v>0.1940188587960508</v>
      </c>
      <c r="I40" s="25">
        <f t="shared" si="8"/>
        <v>7.1786977754538794E-2</v>
      </c>
      <c r="J40" s="1046"/>
      <c r="K40" s="24">
        <f>'Lote 4 - Items'!I279</f>
        <v>34</v>
      </c>
      <c r="L40" s="25">
        <f t="shared" si="9"/>
        <v>0.1940188587960508</v>
      </c>
      <c r="M40" s="25">
        <f t="shared" si="10"/>
        <v>6.5966411990657281E-2</v>
      </c>
      <c r="N40" s="1046"/>
    </row>
    <row r="41" spans="1:14" x14ac:dyDescent="0.25">
      <c r="A41" s="13" t="str">
        <f t="shared" si="3"/>
        <v>P0902</v>
      </c>
      <c r="B41" s="13" t="str">
        <f t="shared" si="4"/>
        <v>PIZARRA BLANCA DE ACERO CERÁMICA DE 200X120</v>
      </c>
      <c r="C41" s="24">
        <f>'Lote 4 - Items'!E300</f>
        <v>24</v>
      </c>
      <c r="D41" s="25">
        <f t="shared" si="5"/>
        <v>0.40064894341384488</v>
      </c>
      <c r="E41" s="25">
        <f t="shared" si="6"/>
        <v>9.6155746419322771E-2</v>
      </c>
      <c r="F41" s="1046"/>
      <c r="G41" s="24">
        <f>'Lote 4 - Items'!G300</f>
        <v>45</v>
      </c>
      <c r="H41" s="25">
        <f t="shared" si="7"/>
        <v>0.40064894341384488</v>
      </c>
      <c r="I41" s="25">
        <f t="shared" si="8"/>
        <v>0.18029202453623017</v>
      </c>
      <c r="J41" s="1046"/>
      <c r="K41" s="24">
        <f>'Lote 4 - Items'!I300</f>
        <v>37</v>
      </c>
      <c r="L41" s="25">
        <f t="shared" si="9"/>
        <v>0.40064894341384488</v>
      </c>
      <c r="M41" s="25">
        <f t="shared" si="10"/>
        <v>0.1482401090631226</v>
      </c>
      <c r="N41" s="1046"/>
    </row>
    <row r="42" spans="1:14" x14ac:dyDescent="0.25">
      <c r="D42" s="350"/>
      <c r="H42" s="350"/>
      <c r="L42" s="350"/>
    </row>
    <row r="46" spans="1:14" ht="12.75" customHeight="1" x14ac:dyDescent="0.25">
      <c r="C46" s="1056" t="s">
        <v>664</v>
      </c>
      <c r="D46" s="1057"/>
      <c r="E46" s="1057"/>
      <c r="F46" s="1057"/>
      <c r="G46" s="1057"/>
      <c r="H46" s="1057"/>
      <c r="I46" s="1057"/>
      <c r="J46" s="1057"/>
      <c r="K46" s="1058"/>
      <c r="L46" s="1065" t="s">
        <v>665</v>
      </c>
      <c r="M46" s="1065" t="s">
        <v>660</v>
      </c>
    </row>
    <row r="47" spans="1:14" x14ac:dyDescent="0.25">
      <c r="C47" s="1059"/>
      <c r="D47" s="1060"/>
      <c r="E47" s="1060"/>
      <c r="F47" s="1060"/>
      <c r="G47" s="1060"/>
      <c r="H47" s="1060"/>
      <c r="I47" s="1060"/>
      <c r="J47" s="1060"/>
      <c r="K47" s="1061"/>
      <c r="L47" s="1066"/>
      <c r="M47" s="1066"/>
    </row>
    <row r="48" spans="1:14" ht="12.75" customHeight="1" x14ac:dyDescent="0.25">
      <c r="C48" s="1062"/>
      <c r="D48" s="1063"/>
      <c r="E48" s="1063"/>
      <c r="F48" s="1063"/>
      <c r="G48" s="1063"/>
      <c r="H48" s="1063"/>
      <c r="I48" s="1063"/>
      <c r="J48" s="1063"/>
      <c r="K48" s="1064"/>
      <c r="L48" s="1067"/>
      <c r="M48" s="1066"/>
      <c r="N48" s="1054" t="s">
        <v>20</v>
      </c>
    </row>
    <row r="49" spans="2:14" ht="66" x14ac:dyDescent="0.25">
      <c r="B49" s="613" t="s">
        <v>252</v>
      </c>
      <c r="C49" s="614" t="s">
        <v>663</v>
      </c>
      <c r="D49" s="615" t="s">
        <v>12</v>
      </c>
      <c r="E49" s="616" t="s">
        <v>13</v>
      </c>
      <c r="F49" s="614" t="s">
        <v>662</v>
      </c>
      <c r="G49" s="615" t="s">
        <v>12</v>
      </c>
      <c r="H49" s="616" t="s">
        <v>13</v>
      </c>
      <c r="I49" s="614" t="s">
        <v>661</v>
      </c>
      <c r="J49" s="615" t="s">
        <v>12</v>
      </c>
      <c r="K49" s="616" t="s">
        <v>13</v>
      </c>
      <c r="L49" s="614" t="s">
        <v>19</v>
      </c>
      <c r="M49" s="1067"/>
      <c r="N49" s="1055"/>
    </row>
    <row r="50" spans="2:14" x14ac:dyDescent="0.25">
      <c r="B50" s="446" t="str">
        <f>C26</f>
        <v>COMERCIAL DE INDUSTRIAS REUNIDAS</v>
      </c>
      <c r="C50" s="495">
        <f>24*3</f>
        <v>72</v>
      </c>
      <c r="D50" s="439">
        <f>$G$21</f>
        <v>0.81967215182168163</v>
      </c>
      <c r="E50" s="490">
        <f>$C$53*$C$54/C50</f>
        <v>0.36885246831975671</v>
      </c>
      <c r="F50" s="495">
        <v>25</v>
      </c>
      <c r="G50" s="439">
        <f>$G$22</f>
        <v>0.81967215182168163</v>
      </c>
      <c r="H50" s="490">
        <f>$F$53*$F$54/F50</f>
        <v>0.36885246831975671</v>
      </c>
      <c r="I50" s="495">
        <v>7</v>
      </c>
      <c r="J50" s="439">
        <f>$G$23</f>
        <v>1.6393443036433633</v>
      </c>
      <c r="K50" s="490">
        <f>$I$53*$I$54/I50</f>
        <v>0.73770493663951342</v>
      </c>
      <c r="L50" s="496">
        <f>F29</f>
        <v>26.769092378265203</v>
      </c>
      <c r="M50" s="497">
        <f>E50+H50+K50+L50</f>
        <v>28.24450225154423</v>
      </c>
      <c r="N50" s="602">
        <f>RANK(M50,M$50:M$52,0)</f>
        <v>3</v>
      </c>
    </row>
    <row r="51" spans="2:14" x14ac:dyDescent="0.25">
      <c r="B51" s="446" t="str">
        <f>G26</f>
        <v>LAUSAN</v>
      </c>
      <c r="C51" s="495">
        <v>72</v>
      </c>
      <c r="D51" s="439">
        <f t="shared" ref="D51:D52" si="11">$G$21</f>
        <v>0.81967215182168163</v>
      </c>
      <c r="E51" s="490">
        <f>$C$53*$C$54/C51</f>
        <v>0.36885246831975671</v>
      </c>
      <c r="F51" s="495">
        <v>45</v>
      </c>
      <c r="G51" s="439">
        <f t="shared" ref="G51:G52" si="12">$G$22</f>
        <v>0.81967215182168163</v>
      </c>
      <c r="H51" s="490">
        <f>$F$53*$F$54/F51</f>
        <v>0.20491803795542041</v>
      </c>
      <c r="I51" s="495">
        <v>72</v>
      </c>
      <c r="J51" s="439">
        <f t="shared" ref="J51:J52" si="13">$G$23</f>
        <v>1.6393443036433633</v>
      </c>
      <c r="K51" s="490">
        <f>$I$53*$I$54/I51</f>
        <v>7.172131328439714E-2</v>
      </c>
      <c r="L51" s="496">
        <f>J29</f>
        <v>36.607914820071151</v>
      </c>
      <c r="M51" s="497">
        <f t="shared" ref="M51:M52" si="14">E51+H51+K51+L51</f>
        <v>37.253406639630725</v>
      </c>
      <c r="N51" s="602">
        <f t="shared" ref="N51:N52" si="15">RANK(M51,M$50:M$52,0)</f>
        <v>1</v>
      </c>
    </row>
    <row r="52" spans="2:14" x14ac:dyDescent="0.25">
      <c r="B52" s="446" t="str">
        <f>K26</f>
        <v>SERVITEC</v>
      </c>
      <c r="C52" s="495"/>
      <c r="D52" s="439">
        <f t="shared" si="11"/>
        <v>0.81967215182168163</v>
      </c>
      <c r="E52" s="490">
        <f t="shared" ref="E52" si="16">(C52*D52)/100</f>
        <v>0</v>
      </c>
      <c r="F52" s="495"/>
      <c r="G52" s="439">
        <f t="shared" si="12"/>
        <v>0.81967215182168163</v>
      </c>
      <c r="H52" s="490">
        <f t="shared" ref="H52" si="17">(F52*G52)/100</f>
        <v>0</v>
      </c>
      <c r="I52" s="495"/>
      <c r="J52" s="439">
        <f t="shared" si="13"/>
        <v>1.6393443036433633</v>
      </c>
      <c r="K52" s="490">
        <f t="shared" ref="K52" si="18">(I52*J52)/100</f>
        <v>0</v>
      </c>
      <c r="L52" s="496">
        <f>N29</f>
        <v>30.005220232610995</v>
      </c>
      <c r="M52" s="497">
        <f t="shared" si="14"/>
        <v>30.005220232610995</v>
      </c>
      <c r="N52" s="602">
        <f t="shared" si="15"/>
        <v>2</v>
      </c>
    </row>
    <row r="53" spans="2:14" x14ac:dyDescent="0.25">
      <c r="B53" s="925" t="s">
        <v>1128</v>
      </c>
      <c r="C53" s="448">
        <f>MIN(C50:C52)</f>
        <v>72</v>
      </c>
      <c r="D53" s="923"/>
      <c r="E53" s="924"/>
      <c r="F53" s="448">
        <f>MIN(F50:F52)</f>
        <v>25</v>
      </c>
      <c r="G53" s="923"/>
      <c r="H53" s="924"/>
      <c r="I53" s="448">
        <f>MIN(I50:I52)</f>
        <v>7</v>
      </c>
      <c r="J53" s="923"/>
      <c r="K53" s="924"/>
    </row>
    <row r="54" spans="2:14" x14ac:dyDescent="0.25">
      <c r="B54" s="13" t="s">
        <v>1127</v>
      </c>
      <c r="C54" s="1023">
        <f>G21*H5/100</f>
        <v>0.36885246831975671</v>
      </c>
      <c r="D54" s="1024"/>
      <c r="E54" s="1025"/>
      <c r="F54" s="1023">
        <f>G22*H5/100</f>
        <v>0.36885246831975671</v>
      </c>
      <c r="G54" s="1024"/>
      <c r="H54" s="1025"/>
      <c r="I54" s="1026">
        <f>G23*H5/100</f>
        <v>0.73770493663951342</v>
      </c>
      <c r="J54" s="1027"/>
      <c r="K54" s="1028"/>
    </row>
  </sheetData>
  <mergeCells count="18">
    <mergeCell ref="A26:B26"/>
    <mergeCell ref="B27:B28"/>
    <mergeCell ref="C27:F27"/>
    <mergeCell ref="G27:J27"/>
    <mergeCell ref="J29:J41"/>
    <mergeCell ref="F29:F41"/>
    <mergeCell ref="K27:N27"/>
    <mergeCell ref="N29:N41"/>
    <mergeCell ref="C26:F26"/>
    <mergeCell ref="G26:J26"/>
    <mergeCell ref="K26:N26"/>
    <mergeCell ref="C54:E54"/>
    <mergeCell ref="F54:H54"/>
    <mergeCell ref="I54:K54"/>
    <mergeCell ref="N48:N49"/>
    <mergeCell ref="C46:K48"/>
    <mergeCell ref="L46:L48"/>
    <mergeCell ref="M46:M49"/>
  </mergeCells>
  <phoneticPr fontId="0" type="noConversion"/>
  <conditionalFormatting sqref="N50:N52">
    <cfRule type="cellIs" dxfId="10" priority="3" operator="equal">
      <formula>1</formula>
    </cfRule>
  </conditionalFormatting>
  <conditionalFormatting sqref="M50:M52">
    <cfRule type="cellIs" dxfId="9" priority="2" operator="greaterThan">
      <formula>30</formula>
    </cfRule>
  </conditionalFormatting>
  <conditionalFormatting sqref="N51">
    <cfRule type="cellIs" dxfId="8" priority="1" operator="equal">
      <formula>1</formula>
    </cfRule>
  </conditionalFormatting>
  <pageMargins left="0.74803149606299213" right="0.35433070866141736" top="0.31496062992125984" bottom="0.31496062992125984" header="0" footer="0"/>
  <pageSetup paperSize="9" scale="56" fitToHeight="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topLeftCell="A264" zoomScaleSheetLayoutView="75" workbookViewId="0">
      <selection activeCell="A303" sqref="A303:XFD311"/>
    </sheetView>
  </sheetViews>
  <sheetFormatPr baseColWidth="10" defaultRowHeight="13.2" x14ac:dyDescent="0.25"/>
  <cols>
    <col min="1" max="1" width="80.5546875" customWidth="1"/>
    <col min="2" max="2" width="76.5546875" customWidth="1"/>
    <col min="3" max="3" width="12.5546875" customWidth="1"/>
    <col min="4" max="4" width="20.44140625" style="27" customWidth="1"/>
    <col min="5" max="5" width="15.44140625" customWidth="1"/>
    <col min="6" max="6" width="15.33203125" style="27" customWidth="1"/>
    <col min="7" max="7" width="19.5546875" customWidth="1"/>
    <col min="8" max="8" width="20.33203125" style="27" customWidth="1"/>
    <col min="9" max="9" width="30.88671875" customWidth="1"/>
  </cols>
  <sheetData>
    <row r="1" spans="1:11" x14ac:dyDescent="0.25">
      <c r="A1" t="str">
        <f>'Lote 4'!A5</f>
        <v>LOTE 4: MOBILIARIO GENERAL</v>
      </c>
    </row>
    <row r="2" spans="1:11" ht="42.75" customHeight="1" x14ac:dyDescent="0.25">
      <c r="D2" s="1076" t="str">
        <f>Empresas!$A$68</f>
        <v>COMERCIAL DE INDUSTRIAS REUNIDAS</v>
      </c>
      <c r="E2" s="1076"/>
      <c r="F2" s="1076" t="str">
        <f>Empresas!$A$70</f>
        <v>LAUSAN</v>
      </c>
      <c r="G2" s="1076"/>
      <c r="H2" s="1076" t="str">
        <f>Empresas!$A$74</f>
        <v>SERVITEC</v>
      </c>
      <c r="I2" s="1076"/>
    </row>
    <row r="3" spans="1:11" x14ac:dyDescent="0.25">
      <c r="A3" s="531" t="s">
        <v>535</v>
      </c>
      <c r="B3" s="532"/>
      <c r="C3" s="533"/>
      <c r="D3" s="534"/>
      <c r="E3" s="534"/>
      <c r="F3" s="534"/>
      <c r="G3" s="534"/>
      <c r="H3" s="534"/>
      <c r="I3" s="534"/>
    </row>
    <row r="4" spans="1:11" ht="13.8" x14ac:dyDescent="0.3">
      <c r="A4" s="121" t="s">
        <v>146</v>
      </c>
      <c r="B4" s="201" t="s">
        <v>685</v>
      </c>
      <c r="C4" s="87">
        <f>A5</f>
        <v>7</v>
      </c>
      <c r="D4" s="976"/>
      <c r="E4" s="1075">
        <f>IF(D4&gt;39.9,$C4,IF(D4&gt;29.9,$C5,IF(D4&gt;0,$C6,)))</f>
        <v>0</v>
      </c>
      <c r="F4" s="976">
        <v>50</v>
      </c>
      <c r="G4" s="1075">
        <f>IF(F4&gt;39.9,$C4,IF(F4&gt;29.9,$C5,IF(F4&gt;0,$C6,)))</f>
        <v>7</v>
      </c>
      <c r="H4" s="976">
        <v>40</v>
      </c>
      <c r="I4" s="1075">
        <f>IF(H4&gt;39.9,$C4,IF(H4&gt;29.9,$C5,IF(H4&gt;0,$C6,)))</f>
        <v>7</v>
      </c>
    </row>
    <row r="5" spans="1:11" ht="13.8" x14ac:dyDescent="0.3">
      <c r="A5" s="255">
        <v>7</v>
      </c>
      <c r="B5" s="201" t="s">
        <v>1091</v>
      </c>
      <c r="C5" s="87">
        <v>4</v>
      </c>
      <c r="D5" s="977"/>
      <c r="E5" s="1075"/>
      <c r="F5" s="977"/>
      <c r="G5" s="1075"/>
      <c r="H5" s="977"/>
      <c r="I5" s="1075"/>
    </row>
    <row r="6" spans="1:11" ht="13.8" x14ac:dyDescent="0.3">
      <c r="A6" s="256"/>
      <c r="B6" s="201" t="s">
        <v>686</v>
      </c>
      <c r="C6" s="87">
        <v>1</v>
      </c>
      <c r="D6" s="977"/>
      <c r="E6" s="1075"/>
      <c r="F6" s="977"/>
      <c r="G6" s="1075"/>
      <c r="H6" s="977"/>
      <c r="I6" s="1075"/>
    </row>
    <row r="7" spans="1:11" s="96" customFormat="1" x14ac:dyDescent="0.25">
      <c r="A7" s="106" t="s">
        <v>147</v>
      </c>
      <c r="B7" s="75" t="s">
        <v>148</v>
      </c>
      <c r="C7" s="95">
        <f>A8</f>
        <v>6</v>
      </c>
      <c r="D7" s="509"/>
      <c r="E7" s="1047">
        <f>IF(D7="S",$C7,IF(D8="S",$C8,IF(D9="S",$C9,)))</f>
        <v>3</v>
      </c>
      <c r="F7" s="366" t="s">
        <v>108</v>
      </c>
      <c r="G7" s="1047">
        <f>IF(F7="S",$C7,IF(F8="S",$C8,IF(F9="S",$C9,)))</f>
        <v>6</v>
      </c>
      <c r="H7" s="506"/>
      <c r="I7" s="1047">
        <f>IF(H7="S",$C7,IF(H8="S",$C8,IF(H9="S",$C9,)))</f>
        <v>3</v>
      </c>
      <c r="K7"/>
    </row>
    <row r="8" spans="1:11" s="96" customFormat="1" x14ac:dyDescent="0.25">
      <c r="A8" s="257">
        <v>6</v>
      </c>
      <c r="B8" s="75" t="s">
        <v>127</v>
      </c>
      <c r="C8" s="95">
        <v>3</v>
      </c>
      <c r="D8" s="114" t="s">
        <v>108</v>
      </c>
      <c r="E8" s="1047"/>
      <c r="F8" s="506"/>
      <c r="G8" s="1047"/>
      <c r="H8" s="580" t="s">
        <v>108</v>
      </c>
      <c r="I8" s="1047"/>
      <c r="K8"/>
    </row>
    <row r="9" spans="1:11" s="96" customFormat="1" x14ac:dyDescent="0.25">
      <c r="A9" s="258"/>
      <c r="B9" s="75" t="s">
        <v>101</v>
      </c>
      <c r="C9" s="95">
        <v>1</v>
      </c>
      <c r="D9" s="509"/>
      <c r="E9" s="1047"/>
      <c r="F9" s="506"/>
      <c r="G9" s="1047"/>
      <c r="H9" s="506"/>
      <c r="I9" s="1047"/>
      <c r="K9"/>
    </row>
    <row r="10" spans="1:11" s="96" customFormat="1" x14ac:dyDescent="0.25">
      <c r="A10" s="121" t="s">
        <v>41</v>
      </c>
      <c r="B10" s="115" t="s">
        <v>766</v>
      </c>
      <c r="C10" s="87">
        <f>A11</f>
        <v>7</v>
      </c>
      <c r="D10" s="581"/>
      <c r="E10" s="976">
        <f>IF(D10="S",$C10,IF(D11="S",$C11,IF(D12="S",$C12,)))</f>
        <v>0</v>
      </c>
      <c r="F10" s="581" t="s">
        <v>108</v>
      </c>
      <c r="G10" s="976">
        <f>IF(F10="S",$C10,IF(F11="S",$C11,IF(F12="S",$C12,)))</f>
        <v>7</v>
      </c>
      <c r="H10" s="581" t="s">
        <v>108</v>
      </c>
      <c r="I10" s="976">
        <f>IF(H10="S",$C10,IF(H11="S",$C11,IF(H12="S",$C12,)))</f>
        <v>7</v>
      </c>
      <c r="K10"/>
    </row>
    <row r="11" spans="1:11" s="96" customFormat="1" x14ac:dyDescent="0.25">
      <c r="A11" s="578">
        <v>7</v>
      </c>
      <c r="B11" s="115" t="s">
        <v>767</v>
      </c>
      <c r="C11" s="87">
        <v>4</v>
      </c>
      <c r="D11" s="581"/>
      <c r="E11" s="977"/>
      <c r="F11" s="581"/>
      <c r="G11" s="977"/>
      <c r="H11" s="581"/>
      <c r="I11" s="977"/>
      <c r="K11"/>
    </row>
    <row r="12" spans="1:11" s="96" customFormat="1" x14ac:dyDescent="0.25">
      <c r="A12" s="579"/>
      <c r="B12" s="115" t="s">
        <v>800</v>
      </c>
      <c r="C12" s="87">
        <v>0</v>
      </c>
      <c r="D12" s="581" t="s">
        <v>108</v>
      </c>
      <c r="E12" s="978"/>
      <c r="F12" s="581"/>
      <c r="G12" s="978"/>
      <c r="H12" s="581"/>
      <c r="I12" s="978"/>
    </row>
    <row r="13" spans="1:11" s="96" customFormat="1" ht="13.8" x14ac:dyDescent="0.3">
      <c r="A13" s="106" t="s">
        <v>114</v>
      </c>
      <c r="B13" s="193" t="s">
        <v>687</v>
      </c>
      <c r="C13" s="95">
        <f>A14</f>
        <v>5</v>
      </c>
      <c r="D13" s="979">
        <v>25</v>
      </c>
      <c r="E13" s="1047">
        <f>IF(D13&gt;24.9,$C13,IF(D13&gt;19.9,$C14,IF(D13&gt;0,$C15,)))</f>
        <v>5</v>
      </c>
      <c r="F13" s="979">
        <v>30</v>
      </c>
      <c r="G13" s="1047">
        <f>IF(F13&gt;24.9,$C13,IF(F13&gt;19.9,$C14,IF(F13&gt;0,$C15,)))</f>
        <v>5</v>
      </c>
      <c r="H13" s="979">
        <v>25</v>
      </c>
      <c r="I13" s="1047">
        <f>IF(H13&gt;24.9,$C13,IF(H13&gt;19.9,$C14,IF(H13&gt;0,$C15,)))</f>
        <v>5</v>
      </c>
    </row>
    <row r="14" spans="1:11" s="96" customFormat="1" ht="13.8" x14ac:dyDescent="0.3">
      <c r="A14" s="107">
        <v>5</v>
      </c>
      <c r="B14" s="193" t="s">
        <v>688</v>
      </c>
      <c r="C14" s="95">
        <v>2</v>
      </c>
      <c r="D14" s="980"/>
      <c r="E14" s="1047"/>
      <c r="F14" s="980"/>
      <c r="G14" s="1047"/>
      <c r="H14" s="980"/>
      <c r="I14" s="1047"/>
    </row>
    <row r="15" spans="1:11" s="96" customFormat="1" x14ac:dyDescent="0.25">
      <c r="A15" s="503"/>
      <c r="B15" s="193" t="s">
        <v>689</v>
      </c>
      <c r="C15" s="95">
        <v>0</v>
      </c>
      <c r="D15" s="980"/>
      <c r="E15" s="1047"/>
      <c r="F15" s="980"/>
      <c r="G15" s="1047"/>
      <c r="H15" s="980"/>
      <c r="I15" s="1047"/>
      <c r="K15"/>
    </row>
    <row r="16" spans="1:11" s="96" customFormat="1" x14ac:dyDescent="0.25">
      <c r="A16" s="246" t="s">
        <v>164</v>
      </c>
      <c r="B16" s="511" t="s">
        <v>165</v>
      </c>
      <c r="C16" s="267">
        <v>5</v>
      </c>
      <c r="D16" s="498"/>
      <c r="E16" s="1078">
        <f>IF(D16="S",$C16,IF(D17="S",$C17,IF(D18="S",$C18,)))</f>
        <v>2</v>
      </c>
      <c r="F16" s="310" t="s">
        <v>108</v>
      </c>
      <c r="G16" s="1078">
        <f>IF(F16="S",$C16,IF(F17="S",$C17,IF(F18="S",$C18,)))</f>
        <v>5</v>
      </c>
      <c r="H16" s="507"/>
      <c r="I16" s="1078">
        <f>IF(H16="S",$C16,IF(H17="S",$C17,IF(H18="S",$C18,)))</f>
        <v>2</v>
      </c>
      <c r="K16"/>
    </row>
    <row r="17" spans="1:11" s="96" customFormat="1" x14ac:dyDescent="0.25">
      <c r="A17" s="500">
        <v>5</v>
      </c>
      <c r="B17" s="511" t="s">
        <v>58</v>
      </c>
      <c r="C17" s="267">
        <v>2</v>
      </c>
      <c r="D17" s="498" t="s">
        <v>108</v>
      </c>
      <c r="E17" s="1078"/>
      <c r="F17" s="507"/>
      <c r="G17" s="1078"/>
      <c r="H17" s="581" t="s">
        <v>108</v>
      </c>
      <c r="I17" s="1078"/>
      <c r="K17"/>
    </row>
    <row r="18" spans="1:11" s="96" customFormat="1" x14ac:dyDescent="0.25">
      <c r="A18" s="501"/>
      <c r="B18" s="207" t="s">
        <v>187</v>
      </c>
      <c r="C18" s="267">
        <v>0</v>
      </c>
      <c r="D18" s="498"/>
      <c r="E18" s="1078"/>
      <c r="F18" s="507"/>
      <c r="G18" s="1078"/>
      <c r="H18" s="507"/>
      <c r="I18" s="1078"/>
      <c r="K18"/>
    </row>
    <row r="19" spans="1:11" s="96" customFormat="1" x14ac:dyDescent="0.25">
      <c r="A19" s="106" t="s">
        <v>1094</v>
      </c>
      <c r="B19" s="547" t="s">
        <v>706</v>
      </c>
      <c r="C19" s="95">
        <v>2</v>
      </c>
      <c r="D19" s="509"/>
      <c r="E19" s="979">
        <f>IF(D19="S",$C19,IF(D20="S",$C20,))</f>
        <v>0</v>
      </c>
      <c r="F19" s="366" t="s">
        <v>108</v>
      </c>
      <c r="G19" s="979">
        <f>IF(F19="S",$C19,IF(F20="S",$C20,))</f>
        <v>2</v>
      </c>
      <c r="H19" s="506"/>
      <c r="I19" s="979">
        <f>IF(H19="S",$C19,IF(H20="S",$C20,))</f>
        <v>0</v>
      </c>
      <c r="K19"/>
    </row>
    <row r="20" spans="1:11" s="96" customFormat="1" x14ac:dyDescent="0.25">
      <c r="A20" s="414">
        <v>2</v>
      </c>
      <c r="B20" s="547" t="s">
        <v>1097</v>
      </c>
      <c r="C20" s="95">
        <v>0</v>
      </c>
      <c r="D20" s="890" t="s">
        <v>108</v>
      </c>
      <c r="E20" s="981"/>
      <c r="F20" s="891"/>
      <c r="G20" s="981"/>
      <c r="H20" s="884" t="s">
        <v>108</v>
      </c>
      <c r="I20" s="981"/>
      <c r="K20"/>
    </row>
    <row r="21" spans="1:11" s="96" customFormat="1" x14ac:dyDescent="0.25">
      <c r="A21" s="246" t="s">
        <v>1095</v>
      </c>
      <c r="B21" s="914" t="s">
        <v>707</v>
      </c>
      <c r="C21" s="267">
        <v>4</v>
      </c>
      <c r="D21" s="888"/>
      <c r="E21" s="976">
        <f>IF(D21="S",$C21,IF(D22="S",$C22,))</f>
        <v>0</v>
      </c>
      <c r="F21" s="887" t="s">
        <v>108</v>
      </c>
      <c r="G21" s="976">
        <f>IF(F21="S",$C21,IF(F22="S",$C22,))</f>
        <v>4</v>
      </c>
      <c r="H21" s="886"/>
      <c r="I21" s="976">
        <f>IF(H21="S",$C21,IF(H22="S",$C22,))</f>
        <v>0</v>
      </c>
      <c r="K21"/>
    </row>
    <row r="22" spans="1:11" s="96" customFormat="1" x14ac:dyDescent="0.25">
      <c r="A22" s="881">
        <v>4</v>
      </c>
      <c r="B22" s="914" t="s">
        <v>1100</v>
      </c>
      <c r="C22" s="267">
        <v>0</v>
      </c>
      <c r="D22" s="885"/>
      <c r="E22" s="978"/>
      <c r="F22" s="880"/>
      <c r="G22" s="978"/>
      <c r="H22" s="878"/>
      <c r="I22" s="978"/>
      <c r="K22"/>
    </row>
    <row r="23" spans="1:11" s="96" customFormat="1" x14ac:dyDescent="0.25">
      <c r="A23" s="107" t="s">
        <v>1096</v>
      </c>
      <c r="B23" s="110" t="s">
        <v>1098</v>
      </c>
      <c r="C23" s="95">
        <f>A24</f>
        <v>5</v>
      </c>
      <c r="D23" s="979">
        <v>4</v>
      </c>
      <c r="E23" s="979">
        <f>IF(D23&gt;4.9,$C23,IF(D23&gt;3.9,$C24,IF(D23&gt;0,$C25,IF(D23=0,"0"))))</f>
        <v>3</v>
      </c>
      <c r="F23" s="979">
        <v>4</v>
      </c>
      <c r="G23" s="979">
        <f>IF(F23&gt;4.9,$C23,IF(F23&gt;3.9,$C24,IF(F23&gt;0,$C25,IF(F23=0,"0"))))</f>
        <v>3</v>
      </c>
      <c r="H23" s="979">
        <v>5</v>
      </c>
      <c r="I23" s="979">
        <f>IF(H23&gt;4.9,$C23,IF(H23&gt;3.9,$C24,IF(H23&gt;0,$C25,IF(H23=0,"0"))))</f>
        <v>5</v>
      </c>
      <c r="K23"/>
    </row>
    <row r="24" spans="1:11" s="96" customFormat="1" x14ac:dyDescent="0.25">
      <c r="A24" s="502">
        <v>5</v>
      </c>
      <c r="B24" s="110" t="s">
        <v>1099</v>
      </c>
      <c r="C24" s="95">
        <v>3</v>
      </c>
      <c r="D24" s="980"/>
      <c r="E24" s="980"/>
      <c r="F24" s="980"/>
      <c r="G24" s="980"/>
      <c r="H24" s="980"/>
      <c r="I24" s="980"/>
      <c r="K24"/>
    </row>
    <row r="25" spans="1:11" s="96" customFormat="1" x14ac:dyDescent="0.25">
      <c r="A25" s="502"/>
      <c r="B25" s="266" t="s">
        <v>708</v>
      </c>
      <c r="C25" s="95">
        <v>1</v>
      </c>
      <c r="D25" s="981"/>
      <c r="E25" s="981"/>
      <c r="F25" s="981"/>
      <c r="G25" s="981"/>
      <c r="H25" s="981"/>
      <c r="I25" s="981"/>
      <c r="K25"/>
    </row>
    <row r="26" spans="1:11" s="96" customFormat="1" x14ac:dyDescent="0.25">
      <c r="A26" s="246" t="s">
        <v>1093</v>
      </c>
      <c r="B26" s="259" t="s">
        <v>167</v>
      </c>
      <c r="C26" s="267">
        <f>A27</f>
        <v>4</v>
      </c>
      <c r="D26" s="879" t="s">
        <v>108</v>
      </c>
      <c r="E26" s="976">
        <f>IF(D26="S",$C26,IF(D27="S",$C27,))</f>
        <v>4</v>
      </c>
      <c r="F26" s="879" t="s">
        <v>108</v>
      </c>
      <c r="G26" s="976">
        <f>IF(F26="S",$C26,IF(F27="S",$C27,))</f>
        <v>4</v>
      </c>
      <c r="H26" s="879" t="s">
        <v>108</v>
      </c>
      <c r="I26" s="976">
        <f>IF(H26="S",$C26,IF(H27="S",$C27,))</f>
        <v>4</v>
      </c>
      <c r="K26"/>
    </row>
    <row r="27" spans="1:11" s="96" customFormat="1" x14ac:dyDescent="0.25">
      <c r="A27" s="881">
        <v>4</v>
      </c>
      <c r="B27" s="259" t="s">
        <v>1092</v>
      </c>
      <c r="C27" s="267">
        <v>0</v>
      </c>
      <c r="D27" s="888"/>
      <c r="E27" s="978"/>
      <c r="F27" s="887"/>
      <c r="G27" s="978"/>
      <c r="H27" s="886"/>
      <c r="I27" s="978"/>
      <c r="K27"/>
    </row>
    <row r="28" spans="1:11" x14ac:dyDescent="0.25">
      <c r="A28" s="522" t="s">
        <v>50</v>
      </c>
      <c r="B28" s="526">
        <f>SUM(A4:A27)</f>
        <v>45</v>
      </c>
      <c r="C28" s="523"/>
      <c r="D28" s="524"/>
      <c r="E28" s="524">
        <f>SUM(E4:E26)</f>
        <v>17</v>
      </c>
      <c r="F28" s="524"/>
      <c r="G28" s="524">
        <f>SUM(G4:G26)</f>
        <v>43</v>
      </c>
      <c r="H28" s="524"/>
      <c r="I28" s="524">
        <f>SUM(I4:I26)</f>
        <v>33</v>
      </c>
      <c r="J28" s="101" t="s">
        <v>690</v>
      </c>
    </row>
    <row r="30" spans="1:11" ht="49.5" customHeight="1" x14ac:dyDescent="0.25">
      <c r="C30" s="27"/>
      <c r="D30" s="1076" t="str">
        <f>Empresas!$A$68</f>
        <v>COMERCIAL DE INDUSTRIAS REUNIDAS</v>
      </c>
      <c r="E30" s="1076"/>
      <c r="F30" s="1076" t="str">
        <f>Empresas!$A$70</f>
        <v>LAUSAN</v>
      </c>
      <c r="G30" s="1076"/>
      <c r="H30" s="1076" t="str">
        <f>Empresas!$A$74</f>
        <v>SERVITEC</v>
      </c>
      <c r="I30" s="1076"/>
    </row>
    <row r="31" spans="1:11" x14ac:dyDescent="0.25">
      <c r="A31" s="532" t="s">
        <v>99</v>
      </c>
      <c r="B31" s="532"/>
      <c r="C31" s="535"/>
      <c r="D31" s="534"/>
      <c r="E31" s="534"/>
      <c r="F31" s="534"/>
      <c r="G31" s="534"/>
      <c r="H31" s="534"/>
      <c r="I31" s="534"/>
    </row>
    <row r="32" spans="1:11" x14ac:dyDescent="0.25">
      <c r="A32" s="121" t="s">
        <v>144</v>
      </c>
      <c r="B32" s="544" t="s">
        <v>1101</v>
      </c>
      <c r="C32" s="359">
        <f>A33</f>
        <v>8</v>
      </c>
      <c r="D32" s="529" t="s">
        <v>108</v>
      </c>
      <c r="E32" s="1075">
        <f>IF(D32="S",$C32,IF(D33="S",$C33,IF(D34="S",$C34,)))</f>
        <v>8</v>
      </c>
      <c r="F32" s="508"/>
      <c r="G32" s="1075">
        <f>IF(F32="S",$C32,IF(F33="S",$C33,IF(F34="S",$C34,)))</f>
        <v>5</v>
      </c>
      <c r="H32" s="513"/>
      <c r="I32" s="1075">
        <f>IF(H32="S",$C32,IF(H33="S",$C33,IF(H34="S",$C34,)))</f>
        <v>0</v>
      </c>
    </row>
    <row r="33" spans="1:9" x14ac:dyDescent="0.25">
      <c r="A33" s="143">
        <v>8</v>
      </c>
      <c r="B33" s="292" t="s">
        <v>726</v>
      </c>
      <c r="C33" s="359">
        <v>5</v>
      </c>
      <c r="D33" s="513"/>
      <c r="E33" s="1075"/>
      <c r="F33" s="510" t="s">
        <v>108</v>
      </c>
      <c r="G33" s="1075"/>
      <c r="H33" s="513"/>
      <c r="I33" s="1075"/>
    </row>
    <row r="34" spans="1:9" ht="12.75" customHeight="1" x14ac:dyDescent="0.25">
      <c r="A34" s="144"/>
      <c r="B34" s="292" t="s">
        <v>802</v>
      </c>
      <c r="C34" s="359">
        <v>0</v>
      </c>
      <c r="D34" s="513"/>
      <c r="E34" s="1075"/>
      <c r="F34" s="508"/>
      <c r="G34" s="1075"/>
      <c r="H34" s="582" t="s">
        <v>108</v>
      </c>
      <c r="I34" s="1075"/>
    </row>
    <row r="35" spans="1:9" x14ac:dyDescent="0.25">
      <c r="A35" s="68" t="s">
        <v>282</v>
      </c>
      <c r="B35" s="13" t="s">
        <v>801</v>
      </c>
      <c r="C35" s="360">
        <f>A36</f>
        <v>8</v>
      </c>
      <c r="D35" s="515"/>
      <c r="E35" s="1077">
        <f>IF(D35="S",$C35,IF(D36="S",$C36,))</f>
        <v>4</v>
      </c>
      <c r="F35" s="514"/>
      <c r="G35" s="1077">
        <f>IF(F35="S",$C35,IF(F36="S",$C36,))</f>
        <v>4</v>
      </c>
      <c r="H35" s="586" t="s">
        <v>108</v>
      </c>
      <c r="I35" s="1077">
        <f>IF(H35="S",$C35,IF(H36="S",$C36,))</f>
        <v>8</v>
      </c>
    </row>
    <row r="36" spans="1:9" x14ac:dyDescent="0.25">
      <c r="A36" s="69">
        <v>8</v>
      </c>
      <c r="B36" s="206" t="s">
        <v>157</v>
      </c>
      <c r="C36" s="360">
        <v>4</v>
      </c>
      <c r="D36" s="545" t="s">
        <v>108</v>
      </c>
      <c r="E36" s="1077"/>
      <c r="F36" s="187" t="s">
        <v>108</v>
      </c>
      <c r="G36" s="1077"/>
      <c r="H36" s="515"/>
      <c r="I36" s="1077"/>
    </row>
    <row r="37" spans="1:9" ht="13.8" x14ac:dyDescent="0.3">
      <c r="A37" s="121" t="s">
        <v>145</v>
      </c>
      <c r="B37" s="201" t="s">
        <v>693</v>
      </c>
      <c r="C37" s="358">
        <f>A38</f>
        <v>8</v>
      </c>
      <c r="D37" s="1029">
        <v>0.8</v>
      </c>
      <c r="E37" s="1075">
        <f>IF(D37&gt;0.99,$C37,IF(D37&gt;0.499,$C38,IF(D37&gt;0,$C39,)))</f>
        <v>4</v>
      </c>
      <c r="F37" s="1029">
        <v>1</v>
      </c>
      <c r="G37" s="1075">
        <f>IF(F37&gt;0.99,$C37,IF(F37&gt;0.499,$C38,IF(F37&gt;0,$C39,)))</f>
        <v>8</v>
      </c>
      <c r="H37" s="1029">
        <v>0.7</v>
      </c>
      <c r="I37" s="1075">
        <f>IF(H37&gt;0.99,$C37,IF(H37&gt;0.499,$C38,IF(H37&gt;0,$C39,)))</f>
        <v>4</v>
      </c>
    </row>
    <row r="38" spans="1:9" ht="13.8" x14ac:dyDescent="0.3">
      <c r="A38" s="71">
        <v>8</v>
      </c>
      <c r="B38" s="201" t="s">
        <v>695</v>
      </c>
      <c r="C38" s="358">
        <v>4</v>
      </c>
      <c r="D38" s="1030"/>
      <c r="E38" s="1075"/>
      <c r="F38" s="1030"/>
      <c r="G38" s="1075"/>
      <c r="H38" s="1030"/>
      <c r="I38" s="1075"/>
    </row>
    <row r="39" spans="1:9" x14ac:dyDescent="0.25">
      <c r="A39" s="144"/>
      <c r="B39" s="201" t="s">
        <v>694</v>
      </c>
      <c r="C39" s="358">
        <v>2</v>
      </c>
      <c r="D39" s="1033"/>
      <c r="E39" s="1075"/>
      <c r="F39" s="1033"/>
      <c r="G39" s="1075"/>
      <c r="H39" s="1033"/>
      <c r="I39" s="1075"/>
    </row>
    <row r="40" spans="1:9" x14ac:dyDescent="0.25">
      <c r="A40" s="204" t="s">
        <v>691</v>
      </c>
      <c r="B40" s="193" t="s">
        <v>696</v>
      </c>
      <c r="C40" s="361">
        <f>A41</f>
        <v>7</v>
      </c>
      <c r="D40" s="979">
        <v>32</v>
      </c>
      <c r="E40" s="1047">
        <f>IF(D40&gt;29.9,$C40,IF(D40&gt;24.9,$C41,IF(D40&gt;0,$C42,)))</f>
        <v>7</v>
      </c>
      <c r="F40" s="979">
        <v>32</v>
      </c>
      <c r="G40" s="1047">
        <f>IF(F40&gt;29.9,$C40,IF(F40&gt;24.9,$C41,IF(F40&gt;0,$C42,)))</f>
        <v>7</v>
      </c>
      <c r="H40" s="979">
        <v>32</v>
      </c>
      <c r="I40" s="1047">
        <f>IF(H40&gt;29.9,$C40,IF(H40&gt;24.9,$C41,IF(H40&gt;0,$C42,)))</f>
        <v>7</v>
      </c>
    </row>
    <row r="41" spans="1:9" x14ac:dyDescent="0.25">
      <c r="A41" s="107">
        <v>7</v>
      </c>
      <c r="B41" s="193" t="s">
        <v>697</v>
      </c>
      <c r="C41" s="361">
        <v>4</v>
      </c>
      <c r="D41" s="980"/>
      <c r="E41" s="1047"/>
      <c r="F41" s="980"/>
      <c r="G41" s="1047"/>
      <c r="H41" s="980"/>
      <c r="I41" s="1047"/>
    </row>
    <row r="42" spans="1:9" x14ac:dyDescent="0.25">
      <c r="A42" s="503"/>
      <c r="B42" s="193" t="s">
        <v>698</v>
      </c>
      <c r="C42" s="361">
        <v>2</v>
      </c>
      <c r="D42" s="981"/>
      <c r="E42" s="1047"/>
      <c r="F42" s="981"/>
      <c r="G42" s="1047"/>
      <c r="H42" s="981"/>
      <c r="I42" s="1047"/>
    </row>
    <row r="43" spans="1:9" x14ac:dyDescent="0.25">
      <c r="A43" s="203" t="s">
        <v>692</v>
      </c>
      <c r="B43" s="207" t="s">
        <v>699</v>
      </c>
      <c r="C43" s="358">
        <f>A44</f>
        <v>7</v>
      </c>
      <c r="D43" s="976">
        <v>21.5</v>
      </c>
      <c r="E43" s="1078">
        <f>IF(D43&gt;19.9,$C43,IF(D43&gt;17.99,$C44,IF(D43&gt;0,$C45,)))</f>
        <v>7</v>
      </c>
      <c r="F43" s="976">
        <v>21.5</v>
      </c>
      <c r="G43" s="1078">
        <f>IF(F43&gt;19.9,$C43,IF(F43&gt;17.99,$C44,IF(F43&gt;0,$C45,)))</f>
        <v>7</v>
      </c>
      <c r="H43" s="976">
        <v>21.5</v>
      </c>
      <c r="I43" s="1078">
        <f>IF(H43&gt;19.9,$C43,IF(H43&gt;17.99,$C44,IF(H43&gt;0,$C45,)))</f>
        <v>7</v>
      </c>
    </row>
    <row r="44" spans="1:9" x14ac:dyDescent="0.25">
      <c r="A44" s="71">
        <v>7</v>
      </c>
      <c r="B44" s="207" t="s">
        <v>700</v>
      </c>
      <c r="C44" s="358">
        <v>4</v>
      </c>
      <c r="D44" s="977"/>
      <c r="E44" s="1078"/>
      <c r="F44" s="977"/>
      <c r="G44" s="1078"/>
      <c r="H44" s="977"/>
      <c r="I44" s="1078"/>
    </row>
    <row r="45" spans="1:9" x14ac:dyDescent="0.25">
      <c r="A45" s="505"/>
      <c r="B45" s="207" t="s">
        <v>701</v>
      </c>
      <c r="C45" s="358">
        <v>2</v>
      </c>
      <c r="D45" s="978"/>
      <c r="E45" s="1078"/>
      <c r="F45" s="978"/>
      <c r="G45" s="1078"/>
      <c r="H45" s="978"/>
      <c r="I45" s="1078"/>
    </row>
    <row r="46" spans="1:9" s="96" customFormat="1" x14ac:dyDescent="0.25">
      <c r="A46" s="106" t="s">
        <v>176</v>
      </c>
      <c r="B46" s="75" t="s">
        <v>177</v>
      </c>
      <c r="C46" s="361">
        <f>A47</f>
        <v>7</v>
      </c>
      <c r="D46" s="366" t="s">
        <v>108</v>
      </c>
      <c r="E46" s="1047">
        <f>IF(D46="S",C46,IF(D47="S",C47,))</f>
        <v>7</v>
      </c>
      <c r="F46" s="114" t="s">
        <v>108</v>
      </c>
      <c r="G46" s="1047">
        <f>IF(F46="S",E46,IF(F47="S",E47,))</f>
        <v>7</v>
      </c>
      <c r="H46" s="580" t="s">
        <v>108</v>
      </c>
      <c r="I46" s="1047">
        <f>IF(H46="S",G46,IF(H47="S",G47,))</f>
        <v>7</v>
      </c>
    </row>
    <row r="47" spans="1:9" s="96" customFormat="1" x14ac:dyDescent="0.25">
      <c r="A47" s="263">
        <v>7</v>
      </c>
      <c r="B47" s="75" t="s">
        <v>178</v>
      </c>
      <c r="C47" s="361">
        <v>2</v>
      </c>
      <c r="D47" s="506"/>
      <c r="E47" s="1047"/>
      <c r="F47" s="509"/>
      <c r="G47" s="1047"/>
      <c r="H47" s="506"/>
      <c r="I47" s="1047"/>
    </row>
    <row r="48" spans="1:9" x14ac:dyDescent="0.25">
      <c r="A48" s="525" t="s">
        <v>50</v>
      </c>
      <c r="B48" s="526">
        <f>SUM(A32:A47)</f>
        <v>45</v>
      </c>
      <c r="C48" s="527"/>
      <c r="D48" s="524"/>
      <c r="E48" s="524">
        <f>SUM(E32:E46)</f>
        <v>37</v>
      </c>
      <c r="F48" s="524"/>
      <c r="G48" s="524">
        <f>SUM(G32:G46)</f>
        <v>38</v>
      </c>
      <c r="H48" s="524"/>
      <c r="I48" s="524">
        <f>SUM(I32:I46)</f>
        <v>33</v>
      </c>
    </row>
    <row r="49" spans="1:10" s="96" customFormat="1" x14ac:dyDescent="0.25">
      <c r="A49" s="112"/>
      <c r="B49" s="112"/>
      <c r="C49" s="112"/>
      <c r="D49" s="88"/>
      <c r="E49" s="112"/>
      <c r="F49" s="88"/>
      <c r="G49" s="112"/>
      <c r="H49" s="88"/>
      <c r="I49" s="112"/>
      <c r="J49" s="112"/>
    </row>
    <row r="50" spans="1:10" ht="51" customHeight="1" x14ac:dyDescent="0.25">
      <c r="D50" s="1076" t="str">
        <f>Empresas!$A$68</f>
        <v>COMERCIAL DE INDUSTRIAS REUNIDAS</v>
      </c>
      <c r="E50" s="1076"/>
      <c r="F50" s="1076" t="str">
        <f>Empresas!$A$70</f>
        <v>LAUSAN</v>
      </c>
      <c r="G50" s="1076"/>
      <c r="H50" s="1076" t="str">
        <f>Empresas!$A$74</f>
        <v>SERVITEC</v>
      </c>
      <c r="I50" s="1076"/>
    </row>
    <row r="51" spans="1:10" x14ac:dyDescent="0.25">
      <c r="A51" s="531" t="s">
        <v>536</v>
      </c>
      <c r="B51" s="533"/>
      <c r="C51" s="535"/>
      <c r="D51" s="534"/>
      <c r="E51" s="534"/>
      <c r="F51" s="534"/>
      <c r="G51" s="534"/>
      <c r="H51" s="534"/>
      <c r="I51" s="534"/>
    </row>
    <row r="52" spans="1:10" x14ac:dyDescent="0.25">
      <c r="A52" s="121" t="s">
        <v>146</v>
      </c>
      <c r="B52" s="201" t="s">
        <v>537</v>
      </c>
      <c r="C52" s="358">
        <f>A53</f>
        <v>8</v>
      </c>
      <c r="D52" s="513"/>
      <c r="E52" s="1075">
        <f>IF(D52="S",$C52,IF(D53="S",$C53,IF(D54="S",$C54,)))</f>
        <v>4</v>
      </c>
      <c r="F52" s="513"/>
      <c r="G52" s="1075">
        <f>IF(F52="S",$C52,IF(F53="S",$C53,IF(F54="S",$C54,)))</f>
        <v>4</v>
      </c>
      <c r="H52" s="513"/>
      <c r="I52" s="1075">
        <f>IF(H52="S",$C52,IF(H53="S",$C53,IF(H54="S",$C54,)))</f>
        <v>4</v>
      </c>
    </row>
    <row r="53" spans="1:10" x14ac:dyDescent="0.25">
      <c r="A53" s="143">
        <v>8</v>
      </c>
      <c r="B53" s="201" t="s">
        <v>538</v>
      </c>
      <c r="C53" s="358">
        <v>6</v>
      </c>
      <c r="D53" s="513"/>
      <c r="E53" s="1075"/>
      <c r="F53" s="513"/>
      <c r="G53" s="1075"/>
      <c r="H53" s="513"/>
      <c r="I53" s="1075"/>
    </row>
    <row r="54" spans="1:10" x14ac:dyDescent="0.25">
      <c r="A54" s="144"/>
      <c r="B54" s="201" t="s">
        <v>157</v>
      </c>
      <c r="C54" s="358">
        <v>4</v>
      </c>
      <c r="D54" s="529" t="s">
        <v>108</v>
      </c>
      <c r="E54" s="1075"/>
      <c r="F54" s="529" t="s">
        <v>108</v>
      </c>
      <c r="G54" s="1075"/>
      <c r="H54" s="583" t="s">
        <v>108</v>
      </c>
      <c r="I54" s="1075"/>
    </row>
    <row r="55" spans="1:10" x14ac:dyDescent="0.25">
      <c r="A55" s="68" t="s">
        <v>176</v>
      </c>
      <c r="B55" s="13" t="s">
        <v>177</v>
      </c>
      <c r="C55" s="360">
        <f>A56</f>
        <v>8</v>
      </c>
      <c r="D55" s="545" t="s">
        <v>108</v>
      </c>
      <c r="E55" s="1047">
        <f>IF(D55="S",C55,IF(D56="S",C56,))</f>
        <v>8</v>
      </c>
      <c r="F55" s="545" t="s">
        <v>108</v>
      </c>
      <c r="G55" s="1047">
        <f>IF(F55="S",E55,IF(F56="S",E56,))</f>
        <v>8</v>
      </c>
      <c r="H55" s="545" t="s">
        <v>108</v>
      </c>
      <c r="I55" s="1047">
        <f>IF(H55="S",G55,IF(H56="S",G56,))</f>
        <v>8</v>
      </c>
    </row>
    <row r="56" spans="1:10" x14ac:dyDescent="0.25">
      <c r="A56" s="69">
        <v>8</v>
      </c>
      <c r="B56" s="13" t="s">
        <v>178</v>
      </c>
      <c r="C56" s="360">
        <v>2</v>
      </c>
      <c r="D56" s="515"/>
      <c r="E56" s="1047"/>
      <c r="F56" s="515"/>
      <c r="G56" s="1047"/>
      <c r="H56" s="515"/>
      <c r="I56" s="1047"/>
    </row>
    <row r="57" spans="1:10" x14ac:dyDescent="0.25">
      <c r="A57" s="121" t="s">
        <v>188</v>
      </c>
      <c r="B57" s="201" t="s">
        <v>704</v>
      </c>
      <c r="C57" s="358">
        <f>A58</f>
        <v>8</v>
      </c>
      <c r="D57" s="1029">
        <v>8</v>
      </c>
      <c r="E57" s="1075">
        <f>IF(D57&gt;9,$C57,IF(D57&gt;6,$C58,IF(D57&gt;0,C59,)))</f>
        <v>6</v>
      </c>
      <c r="F57" s="1029">
        <v>10</v>
      </c>
      <c r="G57" s="1075">
        <f>IF(F57&gt;9,$C57,IF(F57&gt;6,$C58,IF(F57&gt;0,E59,)))</f>
        <v>8</v>
      </c>
      <c r="H57" s="1029">
        <v>8</v>
      </c>
      <c r="I57" s="1075">
        <f>IF(H57&gt;9,$C57,IF(H57&gt;6,$C58,IF(H57&gt;0,G59,)))</f>
        <v>6</v>
      </c>
    </row>
    <row r="58" spans="1:10" x14ac:dyDescent="0.25">
      <c r="A58" s="143">
        <v>8</v>
      </c>
      <c r="B58" s="201" t="s">
        <v>705</v>
      </c>
      <c r="C58" s="358">
        <v>6</v>
      </c>
      <c r="D58" s="1030"/>
      <c r="E58" s="1075"/>
      <c r="F58" s="1030"/>
      <c r="G58" s="1075"/>
      <c r="H58" s="1030"/>
      <c r="I58" s="1075"/>
    </row>
    <row r="59" spans="1:10" x14ac:dyDescent="0.25">
      <c r="A59" s="504"/>
      <c r="B59" s="201" t="s">
        <v>702</v>
      </c>
      <c r="C59" s="358">
        <v>0</v>
      </c>
      <c r="D59" s="1033"/>
      <c r="E59" s="1075"/>
      <c r="F59" s="1033"/>
      <c r="G59" s="1075"/>
      <c r="H59" s="1033"/>
      <c r="I59" s="1075"/>
    </row>
    <row r="60" spans="1:10" x14ac:dyDescent="0.25">
      <c r="A60" s="106" t="s">
        <v>189</v>
      </c>
      <c r="B60" s="110" t="s">
        <v>140</v>
      </c>
      <c r="C60" s="361">
        <f>A61</f>
        <v>7</v>
      </c>
      <c r="D60" s="506"/>
      <c r="E60" s="1047">
        <f>IF(D60="S",$C60,IF(D61="S",$C61,))</f>
        <v>4</v>
      </c>
      <c r="F60" s="506"/>
      <c r="G60" s="1047">
        <f>IF(F60="S",$C60,IF(F61="S",$C61,))</f>
        <v>4</v>
      </c>
      <c r="H60" s="506"/>
      <c r="I60" s="1047">
        <f>IF(H60="S",$C60,IF(H61="S",$C61,))</f>
        <v>4</v>
      </c>
    </row>
    <row r="61" spans="1:10" x14ac:dyDescent="0.25">
      <c r="A61" s="414">
        <v>7</v>
      </c>
      <c r="B61" s="266" t="s">
        <v>539</v>
      </c>
      <c r="C61" s="362">
        <v>4</v>
      </c>
      <c r="D61" s="366" t="s">
        <v>108</v>
      </c>
      <c r="E61" s="1047"/>
      <c r="F61" s="366" t="s">
        <v>108</v>
      </c>
      <c r="G61" s="1047"/>
      <c r="H61" s="584" t="s">
        <v>108</v>
      </c>
      <c r="I61" s="1047"/>
    </row>
    <row r="62" spans="1:10" ht="13.8" x14ac:dyDescent="0.3">
      <c r="A62" s="71" t="s">
        <v>145</v>
      </c>
      <c r="B62" s="201" t="s">
        <v>693</v>
      </c>
      <c r="C62" s="358">
        <f>A63</f>
        <v>7</v>
      </c>
      <c r="D62" s="1029">
        <v>0.8</v>
      </c>
      <c r="E62" s="1075">
        <f>IF(D62&gt;0.9,$C62,IF(D62&gt;0.49,$C63,IF(D62&gt;0,$C64,)))</f>
        <v>4</v>
      </c>
      <c r="F62" s="1029">
        <v>1</v>
      </c>
      <c r="G62" s="1075">
        <f>IF(F62&gt;0.9,$C62,IF(F62&gt;0.49,$C63,IF(F62&gt;0,$C64,)))</f>
        <v>7</v>
      </c>
      <c r="H62" s="1029">
        <v>0</v>
      </c>
      <c r="I62" s="1075">
        <f>IF(H62&gt;0.9,$C62,IF(H62&gt;0.49,$C63,IF(H62&gt;0,$C64,)))</f>
        <v>0</v>
      </c>
    </row>
    <row r="63" spans="1:10" ht="13.8" x14ac:dyDescent="0.3">
      <c r="A63" s="71">
        <v>7</v>
      </c>
      <c r="B63" s="201" t="s">
        <v>695</v>
      </c>
      <c r="C63" s="358">
        <v>4</v>
      </c>
      <c r="D63" s="1030"/>
      <c r="E63" s="1075"/>
      <c r="F63" s="1030"/>
      <c r="G63" s="1075"/>
      <c r="H63" s="1030"/>
      <c r="I63" s="1075"/>
    </row>
    <row r="64" spans="1:10" x14ac:dyDescent="0.25">
      <c r="A64" s="505"/>
      <c r="B64" s="201" t="s">
        <v>1102</v>
      </c>
      <c r="C64" s="358">
        <v>2</v>
      </c>
      <c r="D64" s="1033"/>
      <c r="E64" s="1075"/>
      <c r="F64" s="1033"/>
      <c r="G64" s="1075"/>
      <c r="H64" s="1033"/>
      <c r="I64" s="1075"/>
    </row>
    <row r="65" spans="1:9" x14ac:dyDescent="0.25">
      <c r="A65" s="106" t="s">
        <v>144</v>
      </c>
      <c r="B65" s="266" t="s">
        <v>1101</v>
      </c>
      <c r="C65" s="362">
        <f>A66</f>
        <v>7</v>
      </c>
      <c r="D65" s="891" t="s">
        <v>108</v>
      </c>
      <c r="E65" s="1047">
        <f>IF(D65="S",$C65,IF(D66="S",$C66,IF(D67="S",$C67,)))</f>
        <v>7</v>
      </c>
      <c r="F65" s="890"/>
      <c r="G65" s="1047">
        <f>IF(F65="S",$C65,IF(F66="S",$C66,IF(F67="S",$C67,)))</f>
        <v>5</v>
      </c>
      <c r="H65" s="884"/>
      <c r="I65" s="1047">
        <f>IF(H65="S",$C65,IF(H66="S",$C66,IF(H67="S",$C67,)))</f>
        <v>0</v>
      </c>
    </row>
    <row r="66" spans="1:9" x14ac:dyDescent="0.25">
      <c r="A66" s="882">
        <v>7</v>
      </c>
      <c r="B66" s="266" t="s">
        <v>726</v>
      </c>
      <c r="C66" s="362">
        <v>5</v>
      </c>
      <c r="D66" s="884"/>
      <c r="E66" s="1047"/>
      <c r="F66" s="114" t="s">
        <v>108</v>
      </c>
      <c r="G66" s="1047"/>
      <c r="H66" s="884"/>
      <c r="I66" s="1047"/>
    </row>
    <row r="67" spans="1:9" x14ac:dyDescent="0.25">
      <c r="A67" s="883"/>
      <c r="B67" s="266" t="s">
        <v>802</v>
      </c>
      <c r="C67" s="362">
        <v>0</v>
      </c>
      <c r="D67" s="884"/>
      <c r="E67" s="1047"/>
      <c r="F67" s="890"/>
      <c r="G67" s="1047"/>
      <c r="H67" s="884" t="s">
        <v>108</v>
      </c>
      <c r="I67" s="1047"/>
    </row>
    <row r="68" spans="1:9" x14ac:dyDescent="0.25">
      <c r="A68" s="522" t="s">
        <v>50</v>
      </c>
      <c r="B68" s="526">
        <f>SUM(A52:A67)</f>
        <v>45</v>
      </c>
      <c r="C68" s="527"/>
      <c r="D68" s="546"/>
      <c r="E68" s="546">
        <f>SUM(E52:E67)</f>
        <v>33</v>
      </c>
      <c r="F68" s="546"/>
      <c r="G68" s="546">
        <f>SUM(G52:G67)</f>
        <v>36</v>
      </c>
      <c r="H68" s="546"/>
      <c r="I68" s="546">
        <f>SUM(I52:I67)</f>
        <v>22</v>
      </c>
    </row>
    <row r="70" spans="1:9" ht="45" customHeight="1" x14ac:dyDescent="0.25">
      <c r="C70" s="27"/>
      <c r="D70" s="1076" t="str">
        <f>Empresas!$A$68</f>
        <v>COMERCIAL DE INDUSTRIAS REUNIDAS</v>
      </c>
      <c r="E70" s="1076"/>
      <c r="F70" s="1076" t="str">
        <f>Empresas!$A$70</f>
        <v>LAUSAN</v>
      </c>
      <c r="G70" s="1076"/>
      <c r="H70" s="1076" t="str">
        <f>Empresas!$A$74</f>
        <v>SERVITEC</v>
      </c>
      <c r="I70" s="1076"/>
    </row>
    <row r="71" spans="1:9" x14ac:dyDescent="0.25">
      <c r="A71" s="549" t="s">
        <v>540</v>
      </c>
      <c r="B71" s="533" t="s">
        <v>541</v>
      </c>
      <c r="C71" s="535"/>
      <c r="D71" s="534"/>
      <c r="E71" s="534"/>
      <c r="F71" s="534"/>
      <c r="G71" s="534"/>
      <c r="H71" s="534"/>
      <c r="I71" s="534"/>
    </row>
    <row r="72" spans="1:9" x14ac:dyDescent="0.25">
      <c r="A72" s="120" t="s">
        <v>542</v>
      </c>
      <c r="B72" s="119" t="s">
        <v>195</v>
      </c>
      <c r="C72" s="358">
        <f>A73</f>
        <v>4</v>
      </c>
      <c r="D72" s="508"/>
      <c r="E72" s="1075">
        <f>IF(D72="s",$C72,IF(D73="S",$C73,IF(D74="S",$C74,IF(D72=0,"0"))))</f>
        <v>2</v>
      </c>
      <c r="F72" s="508"/>
      <c r="G72" s="1075">
        <f>IF(F72="s",$C72,IF(F73="S",$C73,IF(F74="S",$C74,IF(F72=0,"0"))))</f>
        <v>2</v>
      </c>
      <c r="H72" s="508"/>
      <c r="I72" s="1075">
        <f>IF(H72="s",$C72,IF(H73="S",$C73,IF(H74="S",$C74,IF(H72=0,"0"))))</f>
        <v>2</v>
      </c>
    </row>
    <row r="73" spans="1:9" x14ac:dyDescent="0.25">
      <c r="A73" s="504">
        <v>4</v>
      </c>
      <c r="B73" s="544" t="s">
        <v>95</v>
      </c>
      <c r="C73" s="358">
        <v>2</v>
      </c>
      <c r="D73" s="510" t="s">
        <v>108</v>
      </c>
      <c r="E73" s="1075"/>
      <c r="F73" s="510" t="s">
        <v>108</v>
      </c>
      <c r="G73" s="1075"/>
      <c r="H73" s="510" t="s">
        <v>108</v>
      </c>
      <c r="I73" s="1075"/>
    </row>
    <row r="74" spans="1:9" x14ac:dyDescent="0.25">
      <c r="A74" s="505"/>
      <c r="B74" s="119" t="s">
        <v>196</v>
      </c>
      <c r="C74" s="358">
        <v>1</v>
      </c>
      <c r="D74" s="508"/>
      <c r="E74" s="1075"/>
      <c r="F74" s="508"/>
      <c r="G74" s="1075"/>
      <c r="H74" s="508"/>
      <c r="I74" s="1075"/>
    </row>
    <row r="75" spans="1:9" ht="13.8" x14ac:dyDescent="0.3">
      <c r="A75" s="123" t="s">
        <v>543</v>
      </c>
      <c r="B75" s="915" t="s">
        <v>1103</v>
      </c>
      <c r="C75" s="361">
        <v>7</v>
      </c>
      <c r="D75" s="1047"/>
      <c r="E75" s="1047" t="str">
        <f>IF(D75&gt;2.9,$C75,IF(D75&gt;1.49,$C76,IF(D75&gt;0,$C77,IF(D75=0,"0"))))</f>
        <v>0</v>
      </c>
      <c r="F75" s="1047">
        <v>2</v>
      </c>
      <c r="G75" s="1047">
        <f>IF(F75&gt;2.9,$C75,IF(F75&gt;1.49,$C76,IF(F75&gt;0,$C77,IF(F75=0,"0"))))</f>
        <v>5</v>
      </c>
      <c r="H75" s="1047">
        <v>2</v>
      </c>
      <c r="I75" s="1047">
        <f>IF(H75&gt;2.9,$C75,IF(H75&gt;1.49,$C76,IF(H75&gt;0,$C77,IF(H75=0,"0"))))</f>
        <v>5</v>
      </c>
    </row>
    <row r="76" spans="1:9" x14ac:dyDescent="0.25">
      <c r="A76" s="69">
        <v>4</v>
      </c>
      <c r="B76" s="266" t="s">
        <v>803</v>
      </c>
      <c r="C76" s="361">
        <v>5</v>
      </c>
      <c r="D76" s="1047"/>
      <c r="E76" s="1047"/>
      <c r="F76" s="1047"/>
      <c r="G76" s="1047"/>
      <c r="H76" s="1047"/>
      <c r="I76" s="1047"/>
    </row>
    <row r="77" spans="1:9" x14ac:dyDescent="0.25">
      <c r="A77" s="70"/>
      <c r="B77" s="266" t="s">
        <v>804</v>
      </c>
      <c r="C77" s="361">
        <v>0</v>
      </c>
      <c r="D77" s="1047"/>
      <c r="E77" s="1047"/>
      <c r="F77" s="1047"/>
      <c r="G77" s="1047"/>
      <c r="H77" s="1047"/>
      <c r="I77" s="1047"/>
    </row>
    <row r="78" spans="1:9" x14ac:dyDescent="0.25">
      <c r="A78" s="268" t="s">
        <v>220</v>
      </c>
      <c r="B78" s="270" t="s">
        <v>165</v>
      </c>
      <c r="C78" s="363">
        <v>4</v>
      </c>
      <c r="D78" s="498"/>
      <c r="E78" s="1078" t="str">
        <f>IF(D78="s",$C78,IF(D79="S",$C79,IF(D80="S",$C80,IF(D78=0,"0"))))</f>
        <v>0</v>
      </c>
      <c r="F78" s="498"/>
      <c r="G78" s="1078">
        <f>IF(F78="s",$C78,IF(F79="S",$C79,IF(F80="S",$C80,IF(F78=0,"0"))))</f>
        <v>3</v>
      </c>
      <c r="H78" s="498"/>
      <c r="I78" s="1078">
        <f>IF(H78="s",$C78,IF(H79="S",$C79,IF(H80="S",$C80,IF(H78=0,"0"))))</f>
        <v>2</v>
      </c>
    </row>
    <row r="79" spans="1:9" x14ac:dyDescent="0.25">
      <c r="A79" s="500">
        <v>4</v>
      </c>
      <c r="B79" s="270" t="s">
        <v>58</v>
      </c>
      <c r="C79" s="363">
        <v>3</v>
      </c>
      <c r="D79" s="498"/>
      <c r="E79" s="1078"/>
      <c r="F79" s="569" t="s">
        <v>108</v>
      </c>
      <c r="G79" s="1078"/>
      <c r="H79" s="498"/>
      <c r="I79" s="1078"/>
    </row>
    <row r="80" spans="1:9" x14ac:dyDescent="0.25">
      <c r="A80" s="501"/>
      <c r="B80" s="270" t="s">
        <v>140</v>
      </c>
      <c r="C80" s="363">
        <v>2</v>
      </c>
      <c r="D80" s="498"/>
      <c r="E80" s="1078"/>
      <c r="F80" s="498"/>
      <c r="G80" s="1078"/>
      <c r="H80" s="585" t="s">
        <v>108</v>
      </c>
      <c r="I80" s="1078"/>
    </row>
    <row r="81" spans="1:9" x14ac:dyDescent="0.25">
      <c r="A81" s="422" t="s">
        <v>221</v>
      </c>
      <c r="B81" s="288" t="s">
        <v>96</v>
      </c>
      <c r="C81" s="361">
        <v>4</v>
      </c>
      <c r="D81" s="1047"/>
      <c r="E81" s="1047" t="str">
        <f>IF(D81&gt;49,$C81,IF(D81&gt;29.9,$C82,IF(D81&gt;0,$C83,IF(D81=0,"0"))))</f>
        <v>0</v>
      </c>
      <c r="F81" s="1047">
        <v>60</v>
      </c>
      <c r="G81" s="1047">
        <f>IF(F81&gt;49,$C81,IF(F81&gt;29.9,$C82,IF(F81&gt;0,$C83,IF(F81=0,"0"))))</f>
        <v>4</v>
      </c>
      <c r="H81" s="1047">
        <v>30</v>
      </c>
      <c r="I81" s="1047">
        <f>IF(H81&gt;49,$C81,IF(H81&gt;29.9,$C82,IF(H81&gt;0,$C83,IF(H81=0,"0"))))</f>
        <v>2</v>
      </c>
    </row>
    <row r="82" spans="1:9" x14ac:dyDescent="0.25">
      <c r="A82" s="502">
        <v>4</v>
      </c>
      <c r="B82" s="307" t="s">
        <v>1106</v>
      </c>
      <c r="C82" s="361">
        <v>2</v>
      </c>
      <c r="D82" s="1088"/>
      <c r="E82" s="1047"/>
      <c r="F82" s="1088"/>
      <c r="G82" s="1047"/>
      <c r="H82" s="1088"/>
      <c r="I82" s="1047"/>
    </row>
    <row r="83" spans="1:9" x14ac:dyDescent="0.25">
      <c r="A83" s="503"/>
      <c r="B83" s="307" t="s">
        <v>1105</v>
      </c>
      <c r="C83" s="361">
        <v>0</v>
      </c>
      <c r="D83" s="1088"/>
      <c r="E83" s="1047"/>
      <c r="F83" s="1088"/>
      <c r="G83" s="1047"/>
      <c r="H83" s="1088"/>
      <c r="I83" s="1047"/>
    </row>
    <row r="84" spans="1:9" x14ac:dyDescent="0.25">
      <c r="A84" s="268" t="s">
        <v>45</v>
      </c>
      <c r="B84" s="270" t="s">
        <v>96</v>
      </c>
      <c r="C84" s="363">
        <v>4</v>
      </c>
      <c r="D84" s="1078"/>
      <c r="E84" s="1078" t="str">
        <f>IF(D84&gt;49,$C84,IF(D84&gt;29.9,$C85,IF(D84&gt;0,$C86,IF(D84=0,"0"))))</f>
        <v>0</v>
      </c>
      <c r="F84" s="1078">
        <v>60</v>
      </c>
      <c r="G84" s="1078">
        <f>IF(F84&gt;49,$C84,IF(F84&gt;29.9,$C85,IF(F84&gt;0,$C86,IF(F84=0,"0"))))</f>
        <v>4</v>
      </c>
      <c r="H84" s="1078">
        <v>30</v>
      </c>
      <c r="I84" s="1078">
        <f>IF(H84&gt;49,$C84,IF(H84&gt;29.9,$C85,IF(H84&gt;0,$C86,IF(H84=0,"0"))))</f>
        <v>2</v>
      </c>
    </row>
    <row r="85" spans="1:9" x14ac:dyDescent="0.25">
      <c r="A85" s="500">
        <v>5</v>
      </c>
      <c r="B85" s="294" t="s">
        <v>1106</v>
      </c>
      <c r="C85" s="363">
        <v>2</v>
      </c>
      <c r="D85" s="1089"/>
      <c r="E85" s="1078"/>
      <c r="F85" s="1089"/>
      <c r="G85" s="1078"/>
      <c r="H85" s="1089"/>
      <c r="I85" s="1078"/>
    </row>
    <row r="86" spans="1:9" x14ac:dyDescent="0.25">
      <c r="A86" s="501"/>
      <c r="B86" s="294" t="s">
        <v>1105</v>
      </c>
      <c r="C86" s="363">
        <v>0</v>
      </c>
      <c r="D86" s="1089"/>
      <c r="E86" s="1078"/>
      <c r="F86" s="1089"/>
      <c r="G86" s="1078"/>
      <c r="H86" s="1089"/>
      <c r="I86" s="1078"/>
    </row>
    <row r="87" spans="1:9" x14ac:dyDescent="0.25">
      <c r="A87" s="124" t="s">
        <v>205</v>
      </c>
      <c r="B87" s="307" t="s">
        <v>1104</v>
      </c>
      <c r="C87" s="361">
        <f>A88</f>
        <v>4</v>
      </c>
      <c r="D87" s="1047"/>
      <c r="E87" s="1047" t="str">
        <f>IF(D87&gt;41,$C87,IF(D87&gt;0,C88,IF(D87=0,"0")))</f>
        <v>0</v>
      </c>
      <c r="F87" s="979">
        <v>49</v>
      </c>
      <c r="G87" s="1047">
        <f>IF(F87&gt;41,$C87,IF(F87&gt;0,E88,IF(F87=0,"0")))</f>
        <v>4</v>
      </c>
      <c r="H87" s="1047"/>
      <c r="I87" s="1047" t="str">
        <f>IF(H87&gt;41,$C87,IF(H87&gt;0,G88,IF(H87=0,"0")))</f>
        <v>0</v>
      </c>
    </row>
    <row r="88" spans="1:9" x14ac:dyDescent="0.25">
      <c r="A88" s="503">
        <v>4</v>
      </c>
      <c r="B88" s="307" t="s">
        <v>1107</v>
      </c>
      <c r="C88" s="364">
        <v>0</v>
      </c>
      <c r="D88" s="1047"/>
      <c r="E88" s="1047"/>
      <c r="F88" s="980"/>
      <c r="G88" s="1047"/>
      <c r="H88" s="1047"/>
      <c r="I88" s="1047"/>
    </row>
    <row r="89" spans="1:9" x14ac:dyDescent="0.25">
      <c r="A89" s="268" t="s">
        <v>206</v>
      </c>
      <c r="B89" s="294" t="s">
        <v>208</v>
      </c>
      <c r="C89" s="363">
        <f>A90</f>
        <v>4</v>
      </c>
      <c r="D89" s="1078"/>
      <c r="E89" s="1078" t="str">
        <f>IF(D89&gt;39,$C89,IF(D89&gt;0,$C90,IF(D89=0,"0")))</f>
        <v>0</v>
      </c>
      <c r="F89" s="976">
        <v>47</v>
      </c>
      <c r="G89" s="1078">
        <f>IF(F89&gt;39,$C89,IF(F89&gt;0,$C90,IF(F89=0,"0")))</f>
        <v>4</v>
      </c>
      <c r="H89" s="1078"/>
      <c r="I89" s="1078" t="str">
        <f>IF(H89&gt;39,$C89,IF(H89&gt;0,$C90,IF(H89=0,"0")))</f>
        <v>0</v>
      </c>
    </row>
    <row r="90" spans="1:9" x14ac:dyDescent="0.25">
      <c r="A90" s="293">
        <v>4</v>
      </c>
      <c r="B90" s="294" t="s">
        <v>1108</v>
      </c>
      <c r="C90" s="363">
        <v>0</v>
      </c>
      <c r="D90" s="1078"/>
      <c r="E90" s="1078"/>
      <c r="F90" s="977"/>
      <c r="G90" s="1078"/>
      <c r="H90" s="1078"/>
      <c r="I90" s="1078"/>
    </row>
    <row r="91" spans="1:9" ht="12.75" customHeight="1" x14ac:dyDescent="0.25">
      <c r="A91" s="124" t="s">
        <v>207</v>
      </c>
      <c r="B91" s="288" t="s">
        <v>223</v>
      </c>
      <c r="C91" s="361">
        <f>A92</f>
        <v>4</v>
      </c>
      <c r="D91" s="1047"/>
      <c r="E91" s="1047" t="str">
        <f>IF(D91&gt;37,$C91,IF(D91&gt;0,$C92,IF(D91=0,"0")))</f>
        <v>0</v>
      </c>
      <c r="F91" s="979">
        <v>46</v>
      </c>
      <c r="G91" s="1047">
        <f>IF(F91&gt;37,$C91,IF(F91&gt;0,$C92,IF(F91=0,"0")))</f>
        <v>4</v>
      </c>
      <c r="H91" s="1047"/>
      <c r="I91" s="1047" t="str">
        <f>IF(H91&gt;37,$C91,IF(H91&gt;0,$C92,IF(H91=0,"0")))</f>
        <v>0</v>
      </c>
    </row>
    <row r="92" spans="1:9" x14ac:dyDescent="0.25">
      <c r="A92" s="414">
        <v>4</v>
      </c>
      <c r="B92" s="307" t="s">
        <v>1109</v>
      </c>
      <c r="C92" s="361">
        <v>0</v>
      </c>
      <c r="D92" s="1047"/>
      <c r="E92" s="1047"/>
      <c r="F92" s="981"/>
      <c r="G92" s="1047"/>
      <c r="H92" s="1047"/>
      <c r="I92" s="1047"/>
    </row>
    <row r="93" spans="1:9" x14ac:dyDescent="0.25">
      <c r="A93" s="532"/>
      <c r="B93" s="548" t="s">
        <v>544</v>
      </c>
      <c r="C93" s="535"/>
      <c r="D93" s="534"/>
      <c r="E93" s="534"/>
      <c r="F93" s="534"/>
      <c r="G93" s="534"/>
      <c r="H93" s="534"/>
      <c r="I93" s="534"/>
    </row>
    <row r="94" spans="1:9" x14ac:dyDescent="0.25">
      <c r="A94" s="268" t="s">
        <v>542</v>
      </c>
      <c r="B94" s="259" t="s">
        <v>195</v>
      </c>
      <c r="C94" s="363">
        <v>4</v>
      </c>
      <c r="D94" s="498"/>
      <c r="E94" s="1078">
        <f>IF(D94="s",$C94,IF(D95="S",$C95,IF(D96="S",$C96,IF(D94=0,"0"))))</f>
        <v>3</v>
      </c>
      <c r="F94" s="498"/>
      <c r="G94" s="1078">
        <f>IF(F94="s",$C94,IF(F95="S",$C95,IF(F96="S",$C96,IF(F94=0,"0"))))</f>
        <v>3</v>
      </c>
      <c r="H94" s="498"/>
      <c r="I94" s="1078">
        <f>IF(H94="s",$C94,IF(H95="S",$C95,IF(H96="S",$C96,IF(H94=0,"0"))))</f>
        <v>3</v>
      </c>
    </row>
    <row r="95" spans="1:9" x14ac:dyDescent="0.25">
      <c r="A95" s="500">
        <v>4</v>
      </c>
      <c r="B95" s="259" t="s">
        <v>95</v>
      </c>
      <c r="C95" s="363">
        <v>3</v>
      </c>
      <c r="D95" s="355" t="s">
        <v>108</v>
      </c>
      <c r="E95" s="1078"/>
      <c r="F95" s="355" t="s">
        <v>108</v>
      </c>
      <c r="G95" s="1078"/>
      <c r="H95" s="585" t="s">
        <v>108</v>
      </c>
      <c r="I95" s="1078"/>
    </row>
    <row r="96" spans="1:9" x14ac:dyDescent="0.25">
      <c r="A96" s="501"/>
      <c r="B96" s="259" t="s">
        <v>196</v>
      </c>
      <c r="C96" s="363">
        <v>1</v>
      </c>
      <c r="D96" s="498"/>
      <c r="E96" s="1078"/>
      <c r="F96" s="498"/>
      <c r="G96" s="1078"/>
      <c r="H96" s="498"/>
      <c r="I96" s="1078"/>
    </row>
    <row r="97" spans="1:9" x14ac:dyDescent="0.25">
      <c r="A97" s="124" t="s">
        <v>545</v>
      </c>
      <c r="B97" s="110" t="s">
        <v>213</v>
      </c>
      <c r="C97" s="361">
        <v>4</v>
      </c>
      <c r="D97" s="1047">
        <v>2</v>
      </c>
      <c r="E97" s="1047">
        <f>IF(D97&gt;2.9,$C97,IF(D97&gt;1.4,$C98,IF(D97&gt;0,$C99,IF(D97=0,"0"))))</f>
        <v>2</v>
      </c>
      <c r="F97" s="1047">
        <v>2</v>
      </c>
      <c r="G97" s="1047">
        <f>IF(F97&gt;2.9,$C97,IF(F97&gt;1.4,$C98,IF(F97&gt;0,$C99,IF(F97=0,"0"))))</f>
        <v>2</v>
      </c>
      <c r="H97" s="1047">
        <v>2</v>
      </c>
      <c r="I97" s="1047">
        <f>IF(H97&gt;2.9,$C97,IF(H97&gt;1.4,$C98,IF(H97&gt;0,$C99,IF(H97=0,"0"))))</f>
        <v>2</v>
      </c>
    </row>
    <row r="98" spans="1:9" x14ac:dyDescent="0.25">
      <c r="A98" s="502">
        <v>4</v>
      </c>
      <c r="B98" s="110" t="s">
        <v>803</v>
      </c>
      <c r="C98" s="361">
        <v>2</v>
      </c>
      <c r="D98" s="1047"/>
      <c r="E98" s="1047"/>
      <c r="F98" s="1047"/>
      <c r="G98" s="1047"/>
      <c r="H98" s="1047"/>
      <c r="I98" s="1047"/>
    </row>
    <row r="99" spans="1:9" x14ac:dyDescent="0.25">
      <c r="A99" s="503"/>
      <c r="B99" s="110" t="s">
        <v>804</v>
      </c>
      <c r="C99" s="361">
        <v>0</v>
      </c>
      <c r="D99" s="1047"/>
      <c r="E99" s="1047"/>
      <c r="F99" s="1047"/>
      <c r="G99" s="1047"/>
      <c r="H99" s="1047"/>
      <c r="I99" s="1047"/>
    </row>
    <row r="100" spans="1:9" x14ac:dyDescent="0.25">
      <c r="A100" s="291" t="s">
        <v>709</v>
      </c>
      <c r="B100" s="294" t="s">
        <v>710</v>
      </c>
      <c r="C100" s="363">
        <f>A101</f>
        <v>4</v>
      </c>
      <c r="D100" s="498"/>
      <c r="E100" s="1078">
        <f>IF(D100="s",$C100,IF(D101="s",$C101,IF(D100=0,"0")))</f>
        <v>2</v>
      </c>
      <c r="F100" s="355" t="s">
        <v>108</v>
      </c>
      <c r="G100" s="1078">
        <f>IF(F100="s",$C100,IF(F101="s",$C101,IF(F100=0,"0")))</f>
        <v>4</v>
      </c>
      <c r="H100" s="498"/>
      <c r="I100" s="1078">
        <f>IF(H100="s",$C100,IF(H101="s",$C101,IF(H100=0,"0")))</f>
        <v>2</v>
      </c>
    </row>
    <row r="101" spans="1:9" x14ac:dyDescent="0.25">
      <c r="A101" s="501">
        <v>4</v>
      </c>
      <c r="B101" s="294" t="s">
        <v>711</v>
      </c>
      <c r="C101" s="365">
        <v>2</v>
      </c>
      <c r="D101" s="355" t="s">
        <v>108</v>
      </c>
      <c r="E101" s="1078"/>
      <c r="F101" s="498"/>
      <c r="G101" s="1078"/>
      <c r="H101" s="585" t="s">
        <v>108</v>
      </c>
      <c r="I101" s="1078"/>
    </row>
    <row r="102" spans="1:9" x14ac:dyDescent="0.25">
      <c r="A102" s="522" t="s">
        <v>50</v>
      </c>
      <c r="B102" s="526">
        <f>SUM(A72:A101)</f>
        <v>45</v>
      </c>
      <c r="C102" s="527"/>
      <c r="D102" s="524"/>
      <c r="E102" s="524">
        <f>SUM(E72:E101)</f>
        <v>9</v>
      </c>
      <c r="F102" s="524"/>
      <c r="G102" s="524">
        <f>SUM(G72:G101)</f>
        <v>39</v>
      </c>
      <c r="H102" s="524"/>
      <c r="I102" s="524">
        <f>SUM(I72:I101)</f>
        <v>20</v>
      </c>
    </row>
    <row r="103" spans="1:9" ht="12.75" customHeight="1" x14ac:dyDescent="0.25"/>
    <row r="104" spans="1:9" ht="37.5" customHeight="1" x14ac:dyDescent="0.25">
      <c r="C104" s="27"/>
      <c r="D104" s="1076" t="str">
        <f>Empresas!$A$68</f>
        <v>COMERCIAL DE INDUSTRIAS REUNIDAS</v>
      </c>
      <c r="E104" s="1076"/>
      <c r="F104" s="1076" t="str">
        <f>Empresas!$A$70</f>
        <v>LAUSAN</v>
      </c>
      <c r="G104" s="1076"/>
      <c r="H104" s="1076" t="str">
        <f>Empresas!$A$74</f>
        <v>SERVITEC</v>
      </c>
      <c r="I104" s="1076"/>
    </row>
    <row r="105" spans="1:9" x14ac:dyDescent="0.25">
      <c r="A105" s="531" t="s">
        <v>551</v>
      </c>
      <c r="B105" s="532"/>
      <c r="C105" s="535"/>
      <c r="D105" s="534"/>
      <c r="E105" s="534"/>
      <c r="F105" s="534"/>
      <c r="G105" s="534"/>
      <c r="H105" s="534"/>
      <c r="I105" s="534"/>
    </row>
    <row r="106" spans="1:9" s="96" customFormat="1" x14ac:dyDescent="0.25">
      <c r="A106" s="272" t="s">
        <v>149</v>
      </c>
      <c r="B106" s="115" t="s">
        <v>150</v>
      </c>
      <c r="C106" s="358">
        <v>5</v>
      </c>
      <c r="D106" s="540" t="s">
        <v>108</v>
      </c>
      <c r="E106" s="1085">
        <f>IF(D106="S",$C106,IF(D107="S",$C107,IF(D108="S",$C108,IF(D109="S",$C109,))))</f>
        <v>5</v>
      </c>
      <c r="F106" s="540" t="s">
        <v>108</v>
      </c>
      <c r="G106" s="1085">
        <f>IF(F106="S",$C106,IF(F107="S",$C107,IF(F108="S",$C108,IF(F109="S",$C109,))))</f>
        <v>5</v>
      </c>
      <c r="H106" s="591" t="s">
        <v>108</v>
      </c>
      <c r="I106" s="1085">
        <f>IF(H106="S",$C106,IF(H107="S",$C107,IF(H108="S",$C108,IF(H109="S",$C109,))))</f>
        <v>5</v>
      </c>
    </row>
    <row r="107" spans="1:9" s="96" customFormat="1" x14ac:dyDescent="0.25">
      <c r="A107" s="71">
        <v>5</v>
      </c>
      <c r="B107" s="119" t="s">
        <v>112</v>
      </c>
      <c r="C107" s="359">
        <v>2</v>
      </c>
      <c r="D107" s="541"/>
      <c r="E107" s="1085"/>
      <c r="F107" s="541"/>
      <c r="G107" s="1085"/>
      <c r="H107" s="541"/>
      <c r="I107" s="1085"/>
    </row>
    <row r="108" spans="1:9" s="96" customFormat="1" x14ac:dyDescent="0.25">
      <c r="A108" s="122"/>
      <c r="B108" s="119" t="s">
        <v>113</v>
      </c>
      <c r="C108" s="359">
        <v>1</v>
      </c>
      <c r="D108" s="541"/>
      <c r="E108" s="1085"/>
      <c r="F108" s="541"/>
      <c r="G108" s="1085"/>
      <c r="H108" s="541"/>
      <c r="I108" s="1085"/>
    </row>
    <row r="109" spans="1:9" s="96" customFormat="1" x14ac:dyDescent="0.25">
      <c r="A109" s="273"/>
      <c r="B109" s="119" t="s">
        <v>98</v>
      </c>
      <c r="C109" s="359">
        <v>0</v>
      </c>
      <c r="D109" s="541"/>
      <c r="E109" s="1085"/>
      <c r="F109" s="541"/>
      <c r="G109" s="1085"/>
      <c r="H109" s="541"/>
      <c r="I109" s="1085"/>
    </row>
    <row r="110" spans="1:9" s="96" customFormat="1" x14ac:dyDescent="0.25">
      <c r="A110" s="274" t="s">
        <v>548</v>
      </c>
      <c r="B110" s="512" t="s">
        <v>547</v>
      </c>
      <c r="C110" s="361">
        <f>A113</f>
        <v>5</v>
      </c>
      <c r="D110" s="1047">
        <v>4</v>
      </c>
      <c r="E110" s="1047">
        <f>IF(D110&gt;5,$C110,IF(D110&gt;1,$C111,IF(D110=" ","0",)))</f>
        <v>2</v>
      </c>
      <c r="F110" s="1047">
        <v>10</v>
      </c>
      <c r="G110" s="1047">
        <f>IF(F110&gt;5,$C110,IF(F110&gt;1,$C111,IF(F110=" ","0",)))</f>
        <v>5</v>
      </c>
      <c r="H110" s="1047">
        <v>4</v>
      </c>
      <c r="I110" s="1047">
        <f>IF(H110&gt;5,$C110,IF(H110&gt;1,$C111,IF(H110=" ","0",)))</f>
        <v>2</v>
      </c>
    </row>
    <row r="111" spans="1:9" s="96" customFormat="1" x14ac:dyDescent="0.25">
      <c r="A111" s="107">
        <v>5</v>
      </c>
      <c r="B111" s="512" t="s">
        <v>546</v>
      </c>
      <c r="C111" s="361">
        <v>2</v>
      </c>
      <c r="D111" s="1047"/>
      <c r="E111" s="1047"/>
      <c r="F111" s="1047"/>
      <c r="G111" s="1047"/>
      <c r="H111" s="1047"/>
      <c r="I111" s="1047"/>
    </row>
    <row r="112" spans="1:9" s="96" customFormat="1" x14ac:dyDescent="0.25">
      <c r="A112" s="550" t="s">
        <v>716</v>
      </c>
      <c r="B112" s="511" t="s">
        <v>547</v>
      </c>
      <c r="C112" s="363">
        <f>A115</f>
        <v>5</v>
      </c>
      <c r="D112" s="1078">
        <v>4</v>
      </c>
      <c r="E112" s="1078">
        <f>IF(D112&gt;5,$C112,IF(D112&gt;1,$C113,IF(D112=" ","0",)))</f>
        <v>2</v>
      </c>
      <c r="F112" s="1078">
        <v>5</v>
      </c>
      <c r="G112" s="1078">
        <f>IF(F112&gt;5,$C112,IF(F112&gt;1,$C113,IF(F112=" ","0",)))</f>
        <v>2</v>
      </c>
      <c r="H112" s="1078">
        <v>4</v>
      </c>
      <c r="I112" s="1078">
        <f>IF(H112&gt;5,$C112,IF(H112&gt;1,$C113,IF(H112=" ","0",)))</f>
        <v>2</v>
      </c>
    </row>
    <row r="113" spans="1:9" s="96" customFormat="1" x14ac:dyDescent="0.25">
      <c r="A113" s="248">
        <v>5</v>
      </c>
      <c r="B113" s="511" t="s">
        <v>546</v>
      </c>
      <c r="C113" s="363">
        <v>2</v>
      </c>
      <c r="D113" s="1078"/>
      <c r="E113" s="1078"/>
      <c r="F113" s="1078"/>
      <c r="G113" s="1078"/>
      <c r="H113" s="1078"/>
      <c r="I113" s="1078"/>
    </row>
    <row r="114" spans="1:9" s="96" customFormat="1" x14ac:dyDescent="0.25">
      <c r="A114" s="274" t="s">
        <v>624</v>
      </c>
      <c r="B114" s="512" t="s">
        <v>547</v>
      </c>
      <c r="C114" s="361">
        <f>A115</f>
        <v>5</v>
      </c>
      <c r="D114" s="1047">
        <v>8</v>
      </c>
      <c r="E114" s="1047">
        <f>IF(D114&gt;5,$C114,IF(D114&gt;1,$C115,IF(D114=" ","0",)))</f>
        <v>5</v>
      </c>
      <c r="F114" s="1047">
        <v>10</v>
      </c>
      <c r="G114" s="1047">
        <f>IF(F114&gt;5,$C114,IF(F114&gt;1,$C115,IF(F114=" ","0",)))</f>
        <v>5</v>
      </c>
      <c r="H114" s="1047">
        <v>8</v>
      </c>
      <c r="I114" s="1047">
        <f>IF(H114&gt;5,$C114,IF(H114&gt;1,$C115,IF(H114=" ","0",)))</f>
        <v>5</v>
      </c>
    </row>
    <row r="115" spans="1:9" s="96" customFormat="1" x14ac:dyDescent="0.25">
      <c r="A115" s="107">
        <v>5</v>
      </c>
      <c r="B115" s="512" t="s">
        <v>546</v>
      </c>
      <c r="C115" s="361">
        <v>2</v>
      </c>
      <c r="D115" s="1047"/>
      <c r="E115" s="1047"/>
      <c r="F115" s="1047"/>
      <c r="G115" s="1047"/>
      <c r="H115" s="1047"/>
      <c r="I115" s="1047"/>
    </row>
    <row r="116" spans="1:9" x14ac:dyDescent="0.25">
      <c r="A116" s="275" t="s">
        <v>549</v>
      </c>
      <c r="B116" s="511" t="s">
        <v>547</v>
      </c>
      <c r="C116" s="363">
        <f>A117</f>
        <v>5</v>
      </c>
      <c r="D116" s="1078">
        <v>10</v>
      </c>
      <c r="E116" s="1078">
        <f>IF(D116&gt;5,$C116,IF(D116&gt;1,$C117,IF(D116=" ","0",)))</f>
        <v>5</v>
      </c>
      <c r="F116" s="1078">
        <v>10</v>
      </c>
      <c r="G116" s="1078">
        <f>IF(F116&gt;5,$C116,IF(F116&gt;1,$C117,IF(F116=" ","0",)))</f>
        <v>5</v>
      </c>
      <c r="H116" s="1078">
        <v>10</v>
      </c>
      <c r="I116" s="1078">
        <f>IF(H116&gt;5,$C116,IF(H116&gt;1,$C117,IF(H116=" ","0",)))</f>
        <v>5</v>
      </c>
    </row>
    <row r="117" spans="1:9" x14ac:dyDescent="0.25">
      <c r="A117" s="248">
        <v>5</v>
      </c>
      <c r="B117" s="511" t="s">
        <v>546</v>
      </c>
      <c r="C117" s="363">
        <v>2</v>
      </c>
      <c r="D117" s="1078"/>
      <c r="E117" s="1078"/>
      <c r="F117" s="1078"/>
      <c r="G117" s="1078"/>
      <c r="H117" s="1078"/>
      <c r="I117" s="1078"/>
    </row>
    <row r="118" spans="1:9" s="96" customFormat="1" ht="13.8" x14ac:dyDescent="0.3">
      <c r="A118" s="551" t="s">
        <v>712</v>
      </c>
      <c r="B118" s="553" t="s">
        <v>717</v>
      </c>
      <c r="C118" s="361">
        <f>A119</f>
        <v>4</v>
      </c>
      <c r="D118" s="979">
        <v>30</v>
      </c>
      <c r="E118" s="1047">
        <f>IF(D118&gt;29.9,$C118,IF(D118&gt;0,$C119,))</f>
        <v>4</v>
      </c>
      <c r="F118" s="979">
        <v>30</v>
      </c>
      <c r="G118" s="1047">
        <f>IF(F118&gt;29.9,$C118,IF(F118&gt;0,$C119,))</f>
        <v>4</v>
      </c>
      <c r="H118" s="979">
        <v>30</v>
      </c>
      <c r="I118" s="1047">
        <f>IF(H118&gt;29.9,$C118,IF(H118&gt;0,$C119,))</f>
        <v>4</v>
      </c>
    </row>
    <row r="119" spans="1:9" s="96" customFormat="1" ht="13.8" x14ac:dyDescent="0.3">
      <c r="A119" s="107">
        <v>4</v>
      </c>
      <c r="B119" s="553" t="s">
        <v>718</v>
      </c>
      <c r="C119" s="361">
        <v>1</v>
      </c>
      <c r="D119" s="981"/>
      <c r="E119" s="1047"/>
      <c r="F119" s="981"/>
      <c r="G119" s="1047"/>
      <c r="H119" s="981"/>
      <c r="I119" s="1047"/>
    </row>
    <row r="120" spans="1:9" s="96" customFormat="1" ht="13.8" x14ac:dyDescent="0.3">
      <c r="A120" s="550" t="s">
        <v>713</v>
      </c>
      <c r="B120" s="552" t="s">
        <v>719</v>
      </c>
      <c r="C120" s="363">
        <f>A121</f>
        <v>4</v>
      </c>
      <c r="D120" s="976">
        <v>180</v>
      </c>
      <c r="E120" s="1078">
        <f>IF(D120&gt;179.9,$C120,IF(D120&gt;0,$C121,))</f>
        <v>4</v>
      </c>
      <c r="F120" s="976">
        <v>180</v>
      </c>
      <c r="G120" s="1078">
        <f>IF(F120&gt;179.9,$C120,IF(F120&gt;0,$C121,))</f>
        <v>4</v>
      </c>
      <c r="H120" s="976">
        <v>180</v>
      </c>
      <c r="I120" s="1078">
        <f>IF(H120&gt;179.9,$C120,IF(H120&gt;0,$C121,))</f>
        <v>4</v>
      </c>
    </row>
    <row r="121" spans="1:9" s="96" customFormat="1" ht="13.8" x14ac:dyDescent="0.3">
      <c r="A121" s="248">
        <v>4</v>
      </c>
      <c r="B121" s="552" t="s">
        <v>720</v>
      </c>
      <c r="C121" s="363">
        <v>1</v>
      </c>
      <c r="D121" s="978"/>
      <c r="E121" s="1078"/>
      <c r="F121" s="978"/>
      <c r="G121" s="1078"/>
      <c r="H121" s="978"/>
      <c r="I121" s="1078"/>
    </row>
    <row r="122" spans="1:9" s="96" customFormat="1" ht="13.8" x14ac:dyDescent="0.3">
      <c r="A122" s="551" t="s">
        <v>714</v>
      </c>
      <c r="B122" s="553" t="s">
        <v>721</v>
      </c>
      <c r="C122" s="361">
        <f>A123</f>
        <v>4</v>
      </c>
      <c r="D122" s="979">
        <v>50</v>
      </c>
      <c r="E122" s="1047">
        <f>IF(D122&gt;49.9,$C122,IF(D122&gt;0,$C123,))</f>
        <v>4</v>
      </c>
      <c r="F122" s="979">
        <v>50</v>
      </c>
      <c r="G122" s="1047">
        <f>IF(F122&gt;49.9,$C122,IF(F122&gt;0,$C123,))</f>
        <v>4</v>
      </c>
      <c r="H122" s="979">
        <v>50</v>
      </c>
      <c r="I122" s="1047">
        <f>IF(H122&gt;49.9,$C122,IF(H122&gt;0,$C123,))</f>
        <v>4</v>
      </c>
    </row>
    <row r="123" spans="1:9" s="96" customFormat="1" ht="13.8" x14ac:dyDescent="0.3">
      <c r="A123" s="107">
        <v>4</v>
      </c>
      <c r="B123" s="553" t="s">
        <v>722</v>
      </c>
      <c r="C123" s="361">
        <v>1</v>
      </c>
      <c r="D123" s="981"/>
      <c r="E123" s="1047"/>
      <c r="F123" s="981"/>
      <c r="G123" s="1047"/>
      <c r="H123" s="981"/>
      <c r="I123" s="1047"/>
    </row>
    <row r="124" spans="1:9" s="96" customFormat="1" x14ac:dyDescent="0.25">
      <c r="A124" s="275" t="s">
        <v>133</v>
      </c>
      <c r="B124" s="406" t="s">
        <v>723</v>
      </c>
      <c r="C124" s="363">
        <f>A125</f>
        <v>4</v>
      </c>
      <c r="D124" s="310" t="s">
        <v>108</v>
      </c>
      <c r="E124" s="1080">
        <f>IF(D124="S",$C124,IF(D125="S",$C125,))</f>
        <v>4</v>
      </c>
      <c r="F124" s="310" t="s">
        <v>108</v>
      </c>
      <c r="G124" s="1080">
        <f>IF(F124="S",$C124,IF(F125="S",$C125,))</f>
        <v>4</v>
      </c>
      <c r="H124" s="590" t="s">
        <v>108</v>
      </c>
      <c r="I124" s="1080">
        <f>IF(H124="S",$C124,IF(H125="S",$C125,))</f>
        <v>4</v>
      </c>
    </row>
    <row r="125" spans="1:9" s="96" customFormat="1" x14ac:dyDescent="0.25">
      <c r="A125" s="248">
        <v>4</v>
      </c>
      <c r="B125" s="207" t="s">
        <v>724</v>
      </c>
      <c r="C125" s="363">
        <v>1</v>
      </c>
      <c r="D125" s="539"/>
      <c r="E125" s="1080"/>
      <c r="F125" s="539"/>
      <c r="G125" s="1080"/>
      <c r="H125" s="588"/>
      <c r="I125" s="1080"/>
    </row>
    <row r="126" spans="1:9" s="96" customFormat="1" x14ac:dyDescent="0.25">
      <c r="A126" s="289" t="s">
        <v>805</v>
      </c>
      <c r="B126" s="242" t="s">
        <v>723</v>
      </c>
      <c r="C126" s="361">
        <f>A127</f>
        <v>4</v>
      </c>
      <c r="D126" s="589" t="s">
        <v>108</v>
      </c>
      <c r="E126" s="1079">
        <f>IF(D126="S",$C126,IF(D127="S",$C127,))</f>
        <v>4</v>
      </c>
      <c r="F126" s="589" t="s">
        <v>108</v>
      </c>
      <c r="G126" s="1079">
        <f>IF(F126="S",$C126,IF(F127="S",$C127,))</f>
        <v>4</v>
      </c>
      <c r="H126" s="589" t="s">
        <v>108</v>
      </c>
      <c r="I126" s="1079">
        <f>IF(H126="S",$C126,IF(H127="S",$C127,))</f>
        <v>4</v>
      </c>
    </row>
    <row r="127" spans="1:9" s="96" customFormat="1" x14ac:dyDescent="0.25">
      <c r="A127" s="536">
        <v>4</v>
      </c>
      <c r="B127" s="193" t="s">
        <v>724</v>
      </c>
      <c r="C127" s="361">
        <v>1</v>
      </c>
      <c r="D127" s="587"/>
      <c r="E127" s="1079"/>
      <c r="F127" s="587"/>
      <c r="G127" s="1079"/>
      <c r="H127" s="587"/>
      <c r="I127" s="1079"/>
    </row>
    <row r="128" spans="1:9" x14ac:dyDescent="0.25">
      <c r="A128" s="522" t="s">
        <v>50</v>
      </c>
      <c r="B128" s="526">
        <f>SUM(A106:A127)</f>
        <v>45</v>
      </c>
      <c r="C128" s="527"/>
      <c r="D128" s="524"/>
      <c r="E128" s="524">
        <f>SUM(E106:E127)</f>
        <v>39</v>
      </c>
      <c r="F128" s="524"/>
      <c r="G128" s="524">
        <f>SUM(G106:G127)</f>
        <v>42</v>
      </c>
      <c r="H128" s="524"/>
      <c r="I128" s="524">
        <f>SUM(I106:I127)</f>
        <v>39</v>
      </c>
    </row>
    <row r="129" spans="1:10" x14ac:dyDescent="0.25">
      <c r="A129" s="271"/>
      <c r="B129" s="112"/>
      <c r="C129" s="112"/>
      <c r="D129" s="88"/>
      <c r="E129" s="112"/>
      <c r="F129" s="88"/>
      <c r="G129" s="112"/>
      <c r="H129" s="88"/>
      <c r="I129" s="112"/>
      <c r="J129" s="112"/>
    </row>
    <row r="130" spans="1:10" ht="51.75" customHeight="1" x14ac:dyDescent="0.25">
      <c r="C130" s="27"/>
      <c r="D130" s="1076" t="str">
        <f>Empresas!$A$68</f>
        <v>COMERCIAL DE INDUSTRIAS REUNIDAS</v>
      </c>
      <c r="E130" s="1076"/>
      <c r="F130" s="1076" t="str">
        <f>Empresas!$A$70</f>
        <v>LAUSAN</v>
      </c>
      <c r="G130" s="1076"/>
      <c r="H130" s="1076" t="str">
        <f>Empresas!$A$74</f>
        <v>SERVITEC</v>
      </c>
      <c r="I130" s="1076"/>
    </row>
    <row r="131" spans="1:10" x14ac:dyDescent="0.25">
      <c r="A131" s="531" t="s">
        <v>552</v>
      </c>
      <c r="B131" s="532"/>
      <c r="C131" s="535"/>
      <c r="D131" s="534"/>
      <c r="E131" s="534"/>
      <c r="F131" s="534"/>
      <c r="G131" s="534"/>
      <c r="H131" s="534"/>
      <c r="I131" s="534"/>
    </row>
    <row r="132" spans="1:10" x14ac:dyDescent="0.25">
      <c r="A132" s="275" t="s">
        <v>144</v>
      </c>
      <c r="B132" s="292" t="s">
        <v>734</v>
      </c>
      <c r="C132" s="363">
        <f>A133</f>
        <v>7</v>
      </c>
      <c r="D132" s="976">
        <v>70</v>
      </c>
      <c r="E132" s="1080">
        <f>IF(D132="AI",$C132,IF(D132&gt;80,$C133,IF(D132&gt;49.9,$C134,IF(D132&gt;0,$C134,))))</f>
        <v>3</v>
      </c>
      <c r="F132" s="1078">
        <v>50</v>
      </c>
      <c r="G132" s="1080">
        <f>IF(F132="AI",$C132,IF(F132&gt;80,$C133,IF(F132&gt;49.9,$C134,IF(F132&gt;0,$C134,))))</f>
        <v>3</v>
      </c>
      <c r="H132" s="1078"/>
      <c r="I132" s="1080">
        <f>IF(H132="AI",$C132,IF(H132&gt;80,$C133,IF(H132&gt;49.9,$C134,IF(H132&gt;0,$C134,))))</f>
        <v>0</v>
      </c>
    </row>
    <row r="133" spans="1:10" x14ac:dyDescent="0.25">
      <c r="A133" s="555">
        <v>7</v>
      </c>
      <c r="B133" s="292" t="s">
        <v>727</v>
      </c>
      <c r="C133" s="571">
        <v>5</v>
      </c>
      <c r="D133" s="977"/>
      <c r="E133" s="1080"/>
      <c r="F133" s="1078"/>
      <c r="G133" s="1080"/>
      <c r="H133" s="1078"/>
      <c r="I133" s="1080"/>
    </row>
    <row r="134" spans="1:10" x14ac:dyDescent="0.25">
      <c r="A134" s="555"/>
      <c r="B134" s="292" t="s">
        <v>726</v>
      </c>
      <c r="C134" s="571">
        <v>3</v>
      </c>
      <c r="D134" s="977"/>
      <c r="E134" s="1080"/>
      <c r="F134" s="1078"/>
      <c r="G134" s="1080"/>
      <c r="H134" s="1078"/>
      <c r="I134" s="1080"/>
    </row>
    <row r="135" spans="1:10" x14ac:dyDescent="0.25">
      <c r="A135" s="556"/>
      <c r="B135" s="292" t="s">
        <v>703</v>
      </c>
      <c r="C135" s="571">
        <v>0</v>
      </c>
      <c r="D135" s="978"/>
      <c r="E135" s="1080"/>
      <c r="F135" s="1078"/>
      <c r="G135" s="1080"/>
      <c r="H135" s="1078"/>
      <c r="I135" s="1080"/>
    </row>
    <row r="136" spans="1:10" x14ac:dyDescent="0.25">
      <c r="A136" s="278" t="s">
        <v>282</v>
      </c>
      <c r="B136" s="193" t="s">
        <v>684</v>
      </c>
      <c r="C136" s="559">
        <f>A137</f>
        <v>7</v>
      </c>
      <c r="D136" s="1084"/>
      <c r="E136" s="1047" t="str">
        <f>IF(D136&gt;80,$C136,IF(D136&gt;59.9,$C137,IF(D136&gt;39.9,$C138,"0")))</f>
        <v>0</v>
      </c>
      <c r="F136" s="992">
        <v>40</v>
      </c>
      <c r="G136" s="1047">
        <f>IF(F136&gt;80,$C136,IF(F136&gt;59.9,$C137,IF(F136&gt;39.9,$C138,"0")))</f>
        <v>2</v>
      </c>
      <c r="H136" s="1084"/>
      <c r="I136" s="1047" t="str">
        <f>IF(H136&gt;80,$C136,IF(H136&gt;59.9,$C137,IF(H136&gt;39.9,$C138,"0")))</f>
        <v>0</v>
      </c>
    </row>
    <row r="137" spans="1:10" ht="13.8" x14ac:dyDescent="0.3">
      <c r="A137" s="77">
        <v>7</v>
      </c>
      <c r="B137" s="193" t="s">
        <v>675</v>
      </c>
      <c r="C137" s="559">
        <v>5</v>
      </c>
      <c r="D137" s="994"/>
      <c r="E137" s="1047"/>
      <c r="F137" s="1037"/>
      <c r="G137" s="1047"/>
      <c r="H137" s="994"/>
      <c r="I137" s="1047"/>
    </row>
    <row r="138" spans="1:10" ht="13.8" x14ac:dyDescent="0.3">
      <c r="A138" s="69"/>
      <c r="B138" s="193" t="s">
        <v>677</v>
      </c>
      <c r="C138" s="559">
        <v>2</v>
      </c>
      <c r="D138" s="995"/>
      <c r="E138" s="1047"/>
      <c r="F138" s="993"/>
      <c r="G138" s="1047"/>
      <c r="H138" s="995"/>
      <c r="I138" s="1047"/>
    </row>
    <row r="139" spans="1:10" x14ac:dyDescent="0.25">
      <c r="A139" s="120" t="s">
        <v>542</v>
      </c>
      <c r="B139" s="119" t="s">
        <v>195</v>
      </c>
      <c r="C139" s="358">
        <f>A140</f>
        <v>7</v>
      </c>
      <c r="D139" s="508"/>
      <c r="E139" s="1075">
        <f>IF(D139="s",$C139,IF(D140="S",$C140,IF(D141="S",$C141,IF(D139=0,"0"))))</f>
        <v>5</v>
      </c>
      <c r="F139" s="513"/>
      <c r="G139" s="1075">
        <f>IF(F139="s",$C139,IF(F140="S",$C140,IF(F141="S",$C141,IF(F139=0,"0"))))</f>
        <v>5</v>
      </c>
      <c r="H139" s="513"/>
      <c r="I139" s="1075" t="str">
        <f>IF(H139="s",$C139,IF(H140="S",$C140,IF(H141="S",$C141,IF(H139=0,"0"))))</f>
        <v>0</v>
      </c>
    </row>
    <row r="140" spans="1:10" x14ac:dyDescent="0.25">
      <c r="A140" s="264">
        <v>7</v>
      </c>
      <c r="B140" s="119" t="s">
        <v>95</v>
      </c>
      <c r="C140" s="358">
        <v>5</v>
      </c>
      <c r="D140" s="510" t="s">
        <v>108</v>
      </c>
      <c r="E140" s="1075"/>
      <c r="F140" s="558" t="s">
        <v>108</v>
      </c>
      <c r="G140" s="1075"/>
      <c r="H140" s="513"/>
      <c r="I140" s="1075"/>
    </row>
    <row r="141" spans="1:10" x14ac:dyDescent="0.25">
      <c r="A141" s="264"/>
      <c r="B141" s="119" t="s">
        <v>196</v>
      </c>
      <c r="C141" s="358">
        <v>1</v>
      </c>
      <c r="D141" s="508"/>
      <c r="E141" s="1075"/>
      <c r="F141" s="513"/>
      <c r="G141" s="1075"/>
      <c r="H141" s="513"/>
      <c r="I141" s="1075"/>
    </row>
    <row r="142" spans="1:10" x14ac:dyDescent="0.25">
      <c r="A142" s="123" t="s">
        <v>543</v>
      </c>
      <c r="B142" s="110" t="s">
        <v>213</v>
      </c>
      <c r="C142" s="361">
        <f>A143</f>
        <v>7</v>
      </c>
      <c r="D142" s="1047"/>
      <c r="E142" s="1047" t="str">
        <f>IF(D142="s",$C142,IF(D143="S",$C143,IF(D144="S",$C144,IF(D142=0,"0"))))</f>
        <v>0</v>
      </c>
      <c r="F142" s="1047">
        <v>1.5</v>
      </c>
      <c r="G142" s="1047">
        <f>IF(F142&gt;3,$C142,IF(F142&gt;1.499,$C143,IF(F142&gt;0,$C144,"0")))</f>
        <v>5</v>
      </c>
      <c r="H142" s="1047"/>
      <c r="I142" s="1047" t="str">
        <f>IF(H142="s",$C142,IF(H143="S",$C143,IF(H144="S",$C144,IF(H142=0,"0"))))</f>
        <v>0</v>
      </c>
    </row>
    <row r="143" spans="1:10" x14ac:dyDescent="0.25">
      <c r="A143" s="69">
        <v>7</v>
      </c>
      <c r="B143" s="110" t="s">
        <v>212</v>
      </c>
      <c r="C143" s="361">
        <v>5</v>
      </c>
      <c r="D143" s="1047"/>
      <c r="E143" s="1047"/>
      <c r="F143" s="1047"/>
      <c r="G143" s="1047"/>
      <c r="H143" s="1047"/>
      <c r="I143" s="1047"/>
    </row>
    <row r="144" spans="1:10" x14ac:dyDescent="0.25">
      <c r="A144" s="70"/>
      <c r="B144" s="110" t="s">
        <v>214</v>
      </c>
      <c r="C144" s="361">
        <v>0</v>
      </c>
      <c r="D144" s="1047"/>
      <c r="E144" s="1047"/>
      <c r="F144" s="1047"/>
      <c r="G144" s="1047"/>
      <c r="H144" s="1047"/>
      <c r="I144" s="1047"/>
    </row>
    <row r="145" spans="1:10" x14ac:dyDescent="0.25">
      <c r="A145" s="554" t="s">
        <v>731</v>
      </c>
      <c r="B145" s="201" t="s">
        <v>725</v>
      </c>
      <c r="C145" s="358">
        <f>A146</f>
        <v>7</v>
      </c>
      <c r="D145" s="355" t="s">
        <v>108</v>
      </c>
      <c r="E145" s="1078">
        <f>IF(D145="S",$C145,IF(D145="S",$C146,"0"))</f>
        <v>7</v>
      </c>
      <c r="F145" s="310" t="s">
        <v>108</v>
      </c>
      <c r="G145" s="1078">
        <f>IF(F145="S",$C145,IF(F145="S",$C146,"0"))</f>
        <v>7</v>
      </c>
      <c r="H145" s="599" t="s">
        <v>108</v>
      </c>
      <c r="I145" s="1078">
        <f>IF(H145="S",$C145,IF(H145="S",$C146,"0"))</f>
        <v>7</v>
      </c>
    </row>
    <row r="146" spans="1:10" x14ac:dyDescent="0.25">
      <c r="A146" s="279">
        <v>7</v>
      </c>
      <c r="B146" s="201" t="s">
        <v>165</v>
      </c>
      <c r="C146" s="358">
        <v>1</v>
      </c>
      <c r="D146" s="543"/>
      <c r="E146" s="1078"/>
      <c r="F146" s="539"/>
      <c r="G146" s="1078"/>
      <c r="H146" s="539"/>
      <c r="I146" s="1078"/>
    </row>
    <row r="147" spans="1:10" x14ac:dyDescent="0.25">
      <c r="A147" s="551" t="s">
        <v>730</v>
      </c>
      <c r="B147" s="266" t="s">
        <v>733</v>
      </c>
      <c r="C147" s="361">
        <v>10</v>
      </c>
      <c r="D147" s="979">
        <v>10</v>
      </c>
      <c r="E147" s="1079">
        <f>IF(D147&gt;=20,$C147,IF(D147&gt;14.9,$C148,IF(D147&gt;9.9,$C149,IF(D147&gt;0,$C149,))))</f>
        <v>5</v>
      </c>
      <c r="F147" s="1047">
        <v>12</v>
      </c>
      <c r="G147" s="1079">
        <f>IF(F147&gt;=20,$C147,IF(F147&gt;14.9,$C148,IF(F147&gt;9.9,$C149,IF(F147&gt;0,$C149,))))</f>
        <v>5</v>
      </c>
      <c r="H147" s="1047"/>
      <c r="I147" s="1079">
        <f>IF(H147&gt;=20,$C147,IF(H147&gt;14.9,$C148,IF(H147&gt;9.9,$C149,IF(H147&gt;0,$C149,))))</f>
        <v>0</v>
      </c>
    </row>
    <row r="148" spans="1:10" x14ac:dyDescent="0.25">
      <c r="A148" s="536">
        <v>10</v>
      </c>
      <c r="B148" s="266" t="s">
        <v>732</v>
      </c>
      <c r="C148" s="362">
        <v>7</v>
      </c>
      <c r="D148" s="980"/>
      <c r="E148" s="1079"/>
      <c r="F148" s="1047"/>
      <c r="G148" s="1079"/>
      <c r="H148" s="1047"/>
      <c r="I148" s="1079"/>
    </row>
    <row r="149" spans="1:10" x14ac:dyDescent="0.25">
      <c r="A149" s="536"/>
      <c r="B149" s="266" t="s">
        <v>729</v>
      </c>
      <c r="C149" s="362">
        <v>5</v>
      </c>
      <c r="D149" s="980"/>
      <c r="E149" s="1079"/>
      <c r="F149" s="1047"/>
      <c r="G149" s="1079"/>
      <c r="H149" s="1047"/>
      <c r="I149" s="1079"/>
    </row>
    <row r="150" spans="1:10" x14ac:dyDescent="0.25">
      <c r="A150" s="537"/>
      <c r="B150" s="266" t="s">
        <v>728</v>
      </c>
      <c r="C150" s="362">
        <v>0</v>
      </c>
      <c r="D150" s="981"/>
      <c r="E150" s="1079"/>
      <c r="F150" s="1047"/>
      <c r="G150" s="1079"/>
      <c r="H150" s="1047"/>
      <c r="I150" s="1079"/>
    </row>
    <row r="151" spans="1:10" x14ac:dyDescent="0.25">
      <c r="A151" s="522" t="s">
        <v>50</v>
      </c>
      <c r="B151" s="528">
        <f>SUM(A132:A150)</f>
        <v>45</v>
      </c>
      <c r="C151" s="527"/>
      <c r="D151" s="524"/>
      <c r="E151" s="524">
        <f>SUM(E132:E150)</f>
        <v>20</v>
      </c>
      <c r="F151" s="524"/>
      <c r="G151" s="524">
        <f>SUM(G132:G150)</f>
        <v>27</v>
      </c>
      <c r="H151" s="524"/>
      <c r="I151" s="524">
        <f>SUM(I132:I150)</f>
        <v>7</v>
      </c>
    </row>
    <row r="152" spans="1:10" x14ac:dyDescent="0.25">
      <c r="A152" s="12"/>
      <c r="B152" s="112"/>
      <c r="C152" s="112"/>
      <c r="D152" s="88"/>
      <c r="E152" s="112"/>
      <c r="F152" s="88"/>
      <c r="G152" s="112"/>
      <c r="H152" s="88"/>
      <c r="I152" s="112"/>
      <c r="J152" s="112"/>
    </row>
    <row r="153" spans="1:10" ht="51" customHeight="1" x14ac:dyDescent="0.25">
      <c r="C153" s="27"/>
      <c r="D153" s="1076" t="str">
        <f>Empresas!$A$68</f>
        <v>COMERCIAL DE INDUSTRIAS REUNIDAS</v>
      </c>
      <c r="E153" s="1076"/>
      <c r="F153" s="1076" t="str">
        <f>Empresas!$A$70</f>
        <v>LAUSAN</v>
      </c>
      <c r="G153" s="1076"/>
      <c r="H153" s="1076" t="str">
        <f>Empresas!$A$74</f>
        <v>SERVITEC</v>
      </c>
      <c r="I153" s="1076"/>
    </row>
    <row r="154" spans="1:10" x14ac:dyDescent="0.25">
      <c r="A154" s="531" t="s">
        <v>553</v>
      </c>
      <c r="B154" s="532"/>
      <c r="C154" s="535"/>
      <c r="D154" s="534"/>
      <c r="E154" s="534"/>
      <c r="F154" s="534"/>
      <c r="G154" s="534"/>
      <c r="H154" s="534"/>
      <c r="I154" s="534"/>
    </row>
    <row r="155" spans="1:10" x14ac:dyDescent="0.25">
      <c r="A155" s="272" t="s">
        <v>149</v>
      </c>
      <c r="B155" s="115" t="s">
        <v>150</v>
      </c>
      <c r="C155" s="363">
        <f>A156</f>
        <v>10</v>
      </c>
      <c r="D155" s="508"/>
      <c r="E155" s="1085">
        <f>IF(D155="S",$C155,IF(D156="S",$C156,IF(D157="S",$C157,IF(D158="S",$C158,))))</f>
        <v>0</v>
      </c>
      <c r="F155" s="591" t="s">
        <v>108</v>
      </c>
      <c r="G155" s="1085">
        <f>IF(F155="S",$C155,IF(F156="S",$C156,IF(F157="S",$C157,IF(F158="S",$C158,))))</f>
        <v>10</v>
      </c>
      <c r="H155" s="591" t="s">
        <v>108</v>
      </c>
      <c r="I155" s="1085">
        <f>IF(H155="S",$C155,IF(H156="S",$C156,IF(H157="S",$C157,IF(H158="S",$C158,))))</f>
        <v>10</v>
      </c>
    </row>
    <row r="156" spans="1:10" x14ac:dyDescent="0.25">
      <c r="A156" s="264">
        <v>10</v>
      </c>
      <c r="B156" s="119" t="s">
        <v>112</v>
      </c>
      <c r="C156" s="363">
        <v>5</v>
      </c>
      <c r="D156" s="508"/>
      <c r="E156" s="1085"/>
      <c r="F156" s="513"/>
      <c r="G156" s="1085"/>
      <c r="H156" s="513"/>
      <c r="I156" s="1085"/>
    </row>
    <row r="157" spans="1:10" x14ac:dyDescent="0.25">
      <c r="A157" s="264"/>
      <c r="B157" s="119" t="s">
        <v>113</v>
      </c>
      <c r="C157" s="363">
        <v>1</v>
      </c>
      <c r="D157" s="508"/>
      <c r="E157" s="1085"/>
      <c r="F157" s="513"/>
      <c r="G157" s="1085"/>
      <c r="H157" s="513"/>
      <c r="I157" s="1085"/>
    </row>
    <row r="158" spans="1:10" x14ac:dyDescent="0.25">
      <c r="A158" s="265"/>
      <c r="B158" s="119" t="s">
        <v>93</v>
      </c>
      <c r="C158" s="363">
        <v>0</v>
      </c>
      <c r="D158" s="510" t="s">
        <v>108</v>
      </c>
      <c r="E158" s="1085"/>
      <c r="F158" s="513"/>
      <c r="G158" s="1085"/>
      <c r="H158" s="513"/>
      <c r="I158" s="1085"/>
    </row>
    <row r="159" spans="1:10" x14ac:dyDescent="0.25">
      <c r="A159" s="278" t="s">
        <v>282</v>
      </c>
      <c r="B159" s="94" t="s">
        <v>554</v>
      </c>
      <c r="C159" s="361">
        <f>A160</f>
        <v>9</v>
      </c>
      <c r="D159" s="509"/>
      <c r="E159" s="1047">
        <f>IF(D159="S",$C159,IF(D160="S",$C160,"0"))</f>
        <v>6</v>
      </c>
      <c r="F159" s="506"/>
      <c r="G159" s="1047">
        <f>IF(F159="S",$C159,IF(F160="S",$C160,"0"))</f>
        <v>6</v>
      </c>
      <c r="H159" s="506"/>
      <c r="I159" s="1047">
        <f>IF(H159="S",$C159,IF(H160="S",$C160,"0"))</f>
        <v>6</v>
      </c>
    </row>
    <row r="160" spans="1:10" x14ac:dyDescent="0.25">
      <c r="A160" s="69">
        <v>9</v>
      </c>
      <c r="B160" s="94" t="s">
        <v>100</v>
      </c>
      <c r="C160" s="361">
        <v>6</v>
      </c>
      <c r="D160" s="114" t="s">
        <v>108</v>
      </c>
      <c r="E160" s="1047"/>
      <c r="F160" s="589" t="s">
        <v>108</v>
      </c>
      <c r="G160" s="1047"/>
      <c r="H160" s="589" t="s">
        <v>108</v>
      </c>
      <c r="I160" s="1047"/>
    </row>
    <row r="161" spans="1:10" x14ac:dyDescent="0.25">
      <c r="A161" s="120" t="s">
        <v>542</v>
      </c>
      <c r="B161" s="119" t="s">
        <v>195</v>
      </c>
      <c r="C161" s="358">
        <f>A162</f>
        <v>9</v>
      </c>
      <c r="D161" s="508"/>
      <c r="E161" s="1075">
        <f>IF(D161="s",$C161,IF(D162="S",$C162,IF(D163="S",$C163,IF(D161=0,"0"))))</f>
        <v>6</v>
      </c>
      <c r="F161" s="513"/>
      <c r="G161" s="1075">
        <f>IF(F161="s",$C161,IF(F162="S",$C162,IF(F163="S",$C163,IF(F161=0,"0"))))</f>
        <v>6</v>
      </c>
      <c r="H161" s="513"/>
      <c r="I161" s="1075">
        <f>IF(H161="s",$C161,IF(H162="S",$C162,IF(H163="S",$C163,IF(H161=0,"0"))))</f>
        <v>6</v>
      </c>
    </row>
    <row r="162" spans="1:10" x14ac:dyDescent="0.25">
      <c r="A162" s="264">
        <v>9</v>
      </c>
      <c r="B162" s="119" t="s">
        <v>95</v>
      </c>
      <c r="C162" s="358">
        <v>6</v>
      </c>
      <c r="D162" s="510" t="s">
        <v>108</v>
      </c>
      <c r="E162" s="1075"/>
      <c r="F162" s="510" t="s">
        <v>108</v>
      </c>
      <c r="G162" s="1075"/>
      <c r="H162" s="510" t="s">
        <v>108</v>
      </c>
      <c r="I162" s="1075"/>
    </row>
    <row r="163" spans="1:10" x14ac:dyDescent="0.25">
      <c r="A163" s="264"/>
      <c r="B163" s="119" t="s">
        <v>196</v>
      </c>
      <c r="C163" s="358">
        <v>1</v>
      </c>
      <c r="D163" s="508"/>
      <c r="E163" s="1075"/>
      <c r="F163" s="513"/>
      <c r="G163" s="1075"/>
      <c r="H163" s="513"/>
      <c r="I163" s="1075"/>
    </row>
    <row r="164" spans="1:10" x14ac:dyDescent="0.25">
      <c r="A164" s="572" t="s">
        <v>736</v>
      </c>
      <c r="B164" s="266" t="s">
        <v>732</v>
      </c>
      <c r="C164" s="362">
        <f>A165</f>
        <v>9</v>
      </c>
      <c r="D164" s="1047">
        <v>12</v>
      </c>
      <c r="E164" s="1047">
        <f>IF(D164&gt;14.9,$C164,IF(D164&gt;9.9,$C165,IF(D164&gt;=0,$C166,IF(D164=0,"0"))))</f>
        <v>5</v>
      </c>
      <c r="F164" s="1047">
        <v>15</v>
      </c>
      <c r="G164" s="1047">
        <f>IF(F164&gt;14.9,$C164,IF(F164&gt;9.9,$C165,IF(F164&gt;=0,$C166,IF(F164=0,"0"))))</f>
        <v>9</v>
      </c>
      <c r="H164" s="1047">
        <v>20</v>
      </c>
      <c r="I164" s="1047">
        <f>IF(H164&gt;14.9,$C164,IF(H164&gt;9.9,$C165,IF(H164&gt;=0,$C166,IF(H164=0,"0"))))</f>
        <v>9</v>
      </c>
    </row>
    <row r="165" spans="1:10" x14ac:dyDescent="0.25">
      <c r="A165" s="69">
        <v>9</v>
      </c>
      <c r="B165" s="266" t="s">
        <v>729</v>
      </c>
      <c r="C165" s="362">
        <v>5</v>
      </c>
      <c r="D165" s="1047"/>
      <c r="E165" s="1047"/>
      <c r="F165" s="1047"/>
      <c r="G165" s="1047"/>
      <c r="H165" s="1047"/>
      <c r="I165" s="1047"/>
    </row>
    <row r="166" spans="1:10" x14ac:dyDescent="0.25">
      <c r="A166" s="70"/>
      <c r="B166" s="266" t="s">
        <v>728</v>
      </c>
      <c r="C166" s="362">
        <v>0</v>
      </c>
      <c r="D166" s="1047"/>
      <c r="E166" s="1047"/>
      <c r="F166" s="1047"/>
      <c r="G166" s="1047"/>
      <c r="H166" s="1047"/>
      <c r="I166" s="1047"/>
    </row>
    <row r="167" spans="1:10" x14ac:dyDescent="0.25">
      <c r="A167" s="554" t="s">
        <v>735</v>
      </c>
      <c r="B167" s="201" t="s">
        <v>165</v>
      </c>
      <c r="C167" s="358">
        <f>A168</f>
        <v>8</v>
      </c>
      <c r="D167" s="355" t="s">
        <v>108</v>
      </c>
      <c r="E167" s="1078">
        <f>IF(D167="S",$C167,IF(D168="S",$C168,"0"))</f>
        <v>8</v>
      </c>
      <c r="F167" s="561" t="s">
        <v>108</v>
      </c>
      <c r="G167" s="1078">
        <f>IF(F167="S",$C167,IF(F168="S",$C168,"0"))</f>
        <v>8</v>
      </c>
      <c r="H167" s="557"/>
      <c r="I167" s="1078">
        <f>IF(H167="S",$C167,IF(H168="S",$C168,"0"))</f>
        <v>3</v>
      </c>
    </row>
    <row r="168" spans="1:10" x14ac:dyDescent="0.25">
      <c r="A168" s="279">
        <v>8</v>
      </c>
      <c r="B168" s="201" t="s">
        <v>809</v>
      </c>
      <c r="C168" s="358">
        <v>3</v>
      </c>
      <c r="D168" s="560"/>
      <c r="E168" s="1078"/>
      <c r="F168" s="557"/>
      <c r="G168" s="1078"/>
      <c r="H168" s="590" t="s">
        <v>108</v>
      </c>
      <c r="I168" s="1078"/>
    </row>
    <row r="169" spans="1:10" x14ac:dyDescent="0.25">
      <c r="A169" s="522" t="s">
        <v>50</v>
      </c>
      <c r="B169" s="526">
        <f>SUM(A155:A168)</f>
        <v>45</v>
      </c>
      <c r="C169" s="527"/>
      <c r="D169" s="524"/>
      <c r="E169" s="524">
        <f>SUM(E155:E168)</f>
        <v>25</v>
      </c>
      <c r="F169" s="524"/>
      <c r="G169" s="524">
        <f>SUM(G155:G168)</f>
        <v>39</v>
      </c>
      <c r="H169" s="524"/>
      <c r="I169" s="524">
        <f>SUM(I155:I168)</f>
        <v>34</v>
      </c>
    </row>
    <row r="170" spans="1:10" x14ac:dyDescent="0.25">
      <c r="A170" s="12"/>
      <c r="B170" s="112"/>
      <c r="C170" s="88"/>
      <c r="D170" s="88"/>
      <c r="E170" s="88"/>
      <c r="F170" s="88"/>
      <c r="G170" s="88"/>
      <c r="H170" s="88"/>
      <c r="I170" s="88"/>
      <c r="J170" s="88"/>
    </row>
    <row r="171" spans="1:10" ht="50.25" customHeight="1" x14ac:dyDescent="0.25">
      <c r="C171" s="27"/>
      <c r="D171" s="1076" t="str">
        <f>Empresas!$A$68</f>
        <v>COMERCIAL DE INDUSTRIAS REUNIDAS</v>
      </c>
      <c r="E171" s="1076"/>
      <c r="F171" s="1086" t="str">
        <f>Empresas!$A$70</f>
        <v>LAUSAN</v>
      </c>
      <c r="G171" s="1087"/>
      <c r="H171" s="1076" t="str">
        <f>Empresas!$A$74</f>
        <v>SERVITEC</v>
      </c>
      <c r="I171" s="1076"/>
    </row>
    <row r="172" spans="1:10" x14ac:dyDescent="0.25">
      <c r="A172" s="532" t="s">
        <v>109</v>
      </c>
      <c r="B172" s="532"/>
      <c r="C172" s="535"/>
      <c r="D172" s="534"/>
      <c r="E172" s="534"/>
      <c r="F172" s="534"/>
      <c r="G172" s="534"/>
      <c r="H172" s="534"/>
      <c r="I172" s="534"/>
    </row>
    <row r="173" spans="1:10" x14ac:dyDescent="0.25">
      <c r="A173" s="275" t="s">
        <v>144</v>
      </c>
      <c r="B173" s="292" t="s">
        <v>734</v>
      </c>
      <c r="C173" s="363">
        <f>A174</f>
        <v>9</v>
      </c>
      <c r="D173" s="1029">
        <v>70</v>
      </c>
      <c r="E173" s="1080">
        <f>IF(D173="AI",$C173,IF(D173&gt;80,$C174,IF(D173&gt;49.9,$C175,IF(D173&gt;0,$C175,))))</f>
        <v>3</v>
      </c>
      <c r="F173" s="1029"/>
      <c r="G173" s="1080">
        <f>IF(F173="AI",$C173,IF(F173&gt;80,$C174,IF(F173&gt;49.9,$C175,IF(F173&gt;0,$C175,))))</f>
        <v>0</v>
      </c>
      <c r="H173" s="1029"/>
      <c r="I173" s="1080">
        <f>IF(H173="AI",$C173,IF(H173&gt;80,$C174,IF(H173&gt;49.9,$C175,IF(H173&gt;0,$C175,))))</f>
        <v>0</v>
      </c>
    </row>
    <row r="174" spans="1:10" x14ac:dyDescent="0.25">
      <c r="A174" s="562">
        <v>9</v>
      </c>
      <c r="B174" s="292" t="s">
        <v>727</v>
      </c>
      <c r="C174" s="571">
        <v>5</v>
      </c>
      <c r="D174" s="1030"/>
      <c r="E174" s="1080"/>
      <c r="F174" s="1030"/>
      <c r="G174" s="1080"/>
      <c r="H174" s="1030"/>
      <c r="I174" s="1080"/>
    </row>
    <row r="175" spans="1:10" x14ac:dyDescent="0.25">
      <c r="A175" s="562"/>
      <c r="B175" s="292" t="s">
        <v>726</v>
      </c>
      <c r="C175" s="571">
        <v>3</v>
      </c>
      <c r="D175" s="1030"/>
      <c r="E175" s="1080"/>
      <c r="F175" s="1030"/>
      <c r="G175" s="1080"/>
      <c r="H175" s="1030"/>
      <c r="I175" s="1080"/>
    </row>
    <row r="176" spans="1:10" x14ac:dyDescent="0.25">
      <c r="A176" s="563"/>
      <c r="B176" s="292" t="s">
        <v>703</v>
      </c>
      <c r="C176" s="571">
        <v>0</v>
      </c>
      <c r="D176" s="1033"/>
      <c r="E176" s="1080"/>
      <c r="F176" s="1033"/>
      <c r="G176" s="1080"/>
      <c r="H176" s="1033"/>
      <c r="I176" s="1080"/>
    </row>
    <row r="177" spans="1:10" x14ac:dyDescent="0.25">
      <c r="A177" s="278" t="s">
        <v>282</v>
      </c>
      <c r="B177" s="13" t="s">
        <v>142</v>
      </c>
      <c r="C177" s="360">
        <f>A178</f>
        <v>9</v>
      </c>
      <c r="D177" s="515"/>
      <c r="E177" s="1081">
        <f>IF(D177="S",$C177,IF(D178="S",$C178,IF(D179="S",$C179,)))</f>
        <v>6</v>
      </c>
      <c r="F177" s="515"/>
      <c r="G177" s="1081">
        <f>IF(F177="S",$C177,IF(F178="S",$C178,IF(F179="S",$C179,)))</f>
        <v>6</v>
      </c>
      <c r="H177" s="515"/>
      <c r="I177" s="1081">
        <f>IF(H177="S",$C177,IF(H178="S",$C178,IF(H179="S",$C179,)))</f>
        <v>6</v>
      </c>
    </row>
    <row r="178" spans="1:10" x14ac:dyDescent="0.25">
      <c r="A178" s="69">
        <v>9</v>
      </c>
      <c r="B178" s="13" t="s">
        <v>143</v>
      </c>
      <c r="C178" s="360">
        <v>7</v>
      </c>
      <c r="D178" s="515"/>
      <c r="E178" s="1082"/>
      <c r="F178" s="515"/>
      <c r="G178" s="1082"/>
      <c r="H178" s="515"/>
      <c r="I178" s="1082"/>
    </row>
    <row r="179" spans="1:10" x14ac:dyDescent="0.25">
      <c r="A179" s="69"/>
      <c r="B179" s="13" t="s">
        <v>737</v>
      </c>
      <c r="C179" s="360">
        <v>6</v>
      </c>
      <c r="D179" s="568" t="s">
        <v>108</v>
      </c>
      <c r="E179" s="1083"/>
      <c r="F179" s="601" t="s">
        <v>108</v>
      </c>
      <c r="G179" s="1083"/>
      <c r="H179" s="601" t="s">
        <v>108</v>
      </c>
      <c r="I179" s="1083"/>
    </row>
    <row r="180" spans="1:10" x14ac:dyDescent="0.25">
      <c r="A180" s="272" t="s">
        <v>145</v>
      </c>
      <c r="B180" s="115" t="s">
        <v>173</v>
      </c>
      <c r="C180" s="358">
        <f>A181</f>
        <v>9</v>
      </c>
      <c r="D180" s="1029">
        <v>0.8</v>
      </c>
      <c r="E180" s="1078">
        <f>IF(D180&gt;0.5,$C180,IF(D180&gt;0.19,$C181,IF(D180&gt;0,$C182,IF(D180=0,"0"))))</f>
        <v>9</v>
      </c>
      <c r="F180" s="1029">
        <v>1</v>
      </c>
      <c r="G180" s="1078">
        <f>IF(F180&gt;0.5,$C180,IF(F180&gt;0.19,$C181,IF(F180&gt;0,$C182,IF(F180=0,"0"))))</f>
        <v>9</v>
      </c>
      <c r="H180" s="1029">
        <v>0.8</v>
      </c>
      <c r="I180" s="1078">
        <f>IF(H180&gt;0.5,$C180,IF(H180&gt;0.19,$C181,IF(H180&gt;0,$C182,IF(H180=0,"0"))))</f>
        <v>9</v>
      </c>
    </row>
    <row r="181" spans="1:10" x14ac:dyDescent="0.25">
      <c r="A181" s="71">
        <v>9</v>
      </c>
      <c r="B181" s="115" t="s">
        <v>174</v>
      </c>
      <c r="C181" s="358">
        <v>4</v>
      </c>
      <c r="D181" s="1030"/>
      <c r="E181" s="1078"/>
      <c r="F181" s="1030"/>
      <c r="G181" s="1078"/>
      <c r="H181" s="1030"/>
      <c r="I181" s="1078"/>
    </row>
    <row r="182" spans="1:10" x14ac:dyDescent="0.25">
      <c r="A182" s="265"/>
      <c r="B182" s="115" t="s">
        <v>175</v>
      </c>
      <c r="C182" s="358">
        <v>2</v>
      </c>
      <c r="D182" s="1033"/>
      <c r="E182" s="1078"/>
      <c r="F182" s="1033"/>
      <c r="G182" s="1078"/>
      <c r="H182" s="1033"/>
      <c r="I182" s="1078"/>
    </row>
    <row r="183" spans="1:10" x14ac:dyDescent="0.25">
      <c r="A183" s="106" t="s">
        <v>176</v>
      </c>
      <c r="B183" s="75" t="s">
        <v>177</v>
      </c>
      <c r="C183" s="361">
        <f>A184</f>
        <v>9</v>
      </c>
      <c r="D183" s="566" t="s">
        <v>108</v>
      </c>
      <c r="E183" s="1047">
        <f>IF(D183="S",C183,IF(D184="S",C184,))</f>
        <v>9</v>
      </c>
      <c r="F183" s="589" t="s">
        <v>108</v>
      </c>
      <c r="G183" s="1047">
        <f>IF(F183="S",E183,IF(F184="S",E184,))</f>
        <v>9</v>
      </c>
      <c r="H183" s="589" t="s">
        <v>108</v>
      </c>
      <c r="I183" s="1047">
        <f>IF(H183="S",G183,IF(H184="S",G184,))</f>
        <v>9</v>
      </c>
    </row>
    <row r="184" spans="1:10" x14ac:dyDescent="0.25">
      <c r="A184" s="263">
        <v>9</v>
      </c>
      <c r="B184" s="75" t="s">
        <v>178</v>
      </c>
      <c r="C184" s="361">
        <v>0</v>
      </c>
      <c r="D184" s="506"/>
      <c r="E184" s="1047"/>
      <c r="F184" s="506"/>
      <c r="G184" s="1047"/>
      <c r="H184" s="506"/>
      <c r="I184" s="1047"/>
    </row>
    <row r="185" spans="1:10" x14ac:dyDescent="0.25">
      <c r="A185" s="272" t="s">
        <v>555</v>
      </c>
      <c r="B185" s="115" t="s">
        <v>556</v>
      </c>
      <c r="C185" s="358">
        <f>A186</f>
        <v>9</v>
      </c>
      <c r="D185" s="513"/>
      <c r="E185" s="1075">
        <f>IF(D185="S",$C185,IF(D186="S",$C186,IF(D187="S",$C187,)))</f>
        <v>3</v>
      </c>
      <c r="F185" s="513"/>
      <c r="G185" s="1075">
        <f>IF(F185="S",$C185,IF(F186="S",$C186,IF(F187="S",$C187,)))</f>
        <v>7</v>
      </c>
      <c r="H185" s="513"/>
      <c r="I185" s="1075">
        <f>IF(H185="S",$C185,IF(H186="S",$C186,IF(H187="S",$C187,)))</f>
        <v>3</v>
      </c>
    </row>
    <row r="186" spans="1:10" x14ac:dyDescent="0.25">
      <c r="A186" s="71">
        <v>9</v>
      </c>
      <c r="B186" s="115" t="s">
        <v>557</v>
      </c>
      <c r="C186" s="358">
        <v>7</v>
      </c>
      <c r="D186" s="513"/>
      <c r="E186" s="1075"/>
      <c r="F186" s="591" t="s">
        <v>108</v>
      </c>
      <c r="G186" s="1075"/>
      <c r="H186" s="513"/>
      <c r="I186" s="1075"/>
    </row>
    <row r="187" spans="1:10" x14ac:dyDescent="0.25">
      <c r="A187" s="265"/>
      <c r="B187" s="115" t="s">
        <v>558</v>
      </c>
      <c r="C187" s="358">
        <v>3</v>
      </c>
      <c r="D187" s="591" t="s">
        <v>108</v>
      </c>
      <c r="E187" s="1075"/>
      <c r="F187" s="513"/>
      <c r="G187" s="1075"/>
      <c r="H187" s="889" t="s">
        <v>108</v>
      </c>
      <c r="I187" s="1075"/>
    </row>
    <row r="188" spans="1:10" x14ac:dyDescent="0.25">
      <c r="A188" s="525" t="s">
        <v>50</v>
      </c>
      <c r="B188" s="528">
        <f>SUM(A173:A187)</f>
        <v>45</v>
      </c>
      <c r="C188" s="527"/>
      <c r="D188" s="524"/>
      <c r="E188" s="524">
        <f>SUM(E173:E187)</f>
        <v>30</v>
      </c>
      <c r="F188" s="524"/>
      <c r="G188" s="524">
        <f>SUM(G173:G187)</f>
        <v>31</v>
      </c>
      <c r="H188" s="524"/>
      <c r="I188" s="524">
        <f>SUM(I173:I187)</f>
        <v>27</v>
      </c>
    </row>
    <row r="189" spans="1:10" x14ac:dyDescent="0.25">
      <c r="A189" s="112"/>
      <c r="B189" s="112"/>
      <c r="C189" s="88"/>
      <c r="D189" s="88"/>
      <c r="E189" s="88"/>
      <c r="F189" s="88"/>
      <c r="G189" s="88"/>
      <c r="H189" s="88"/>
      <c r="I189" s="88"/>
      <c r="J189" s="88"/>
    </row>
    <row r="190" spans="1:10" ht="50.25" customHeight="1" x14ac:dyDescent="0.25">
      <c r="C190" s="27"/>
      <c r="D190" s="1076" t="str">
        <f>Empresas!$A$68</f>
        <v>COMERCIAL DE INDUSTRIAS REUNIDAS</v>
      </c>
      <c r="E190" s="1076"/>
      <c r="F190" s="1086" t="str">
        <f>Empresas!$A$70</f>
        <v>LAUSAN</v>
      </c>
      <c r="G190" s="1087"/>
      <c r="H190" s="1076" t="str">
        <f>Empresas!$A$74</f>
        <v>SERVITEC</v>
      </c>
      <c r="I190" s="1076"/>
    </row>
    <row r="191" spans="1:10" x14ac:dyDescent="0.25">
      <c r="A191" s="532" t="s">
        <v>559</v>
      </c>
      <c r="B191" s="532"/>
      <c r="C191" s="535"/>
      <c r="D191" s="534"/>
      <c r="E191" s="534"/>
      <c r="F191" s="534"/>
      <c r="G191" s="534"/>
      <c r="H191" s="534"/>
      <c r="I191" s="534"/>
    </row>
    <row r="192" spans="1:10" x14ac:dyDescent="0.25">
      <c r="A192" s="121" t="s">
        <v>738</v>
      </c>
      <c r="B192" s="530" t="s">
        <v>740</v>
      </c>
      <c r="C192" s="358">
        <f>A193</f>
        <v>10</v>
      </c>
      <c r="D192" s="1029">
        <v>180</v>
      </c>
      <c r="E192" s="1085">
        <f>IF(D192&gt;250,$C192,IF(D192&gt;199.9,$C193,IF(D192&gt;0,$C194,)))</f>
        <v>1</v>
      </c>
      <c r="F192" s="1029">
        <v>235</v>
      </c>
      <c r="G192" s="1085">
        <f>IF(F192&gt;250,$C192,IF(F192&gt;199.9,$C193,IF(F192&gt;0,$C194,)))</f>
        <v>8</v>
      </c>
      <c r="H192" s="1029">
        <v>235</v>
      </c>
      <c r="I192" s="1085">
        <f>IF(H192&gt;250,$C192,IF(H192&gt;199.9,$C193,IF(H192&gt;0,$C194,)))</f>
        <v>8</v>
      </c>
    </row>
    <row r="193" spans="1:10" x14ac:dyDescent="0.25">
      <c r="A193" s="315">
        <v>10</v>
      </c>
      <c r="B193" s="415" t="s">
        <v>1110</v>
      </c>
      <c r="C193" s="358">
        <v>8</v>
      </c>
      <c r="D193" s="1030"/>
      <c r="E193" s="1085"/>
      <c r="F193" s="1030"/>
      <c r="G193" s="1085"/>
      <c r="H193" s="1030"/>
      <c r="I193" s="1085"/>
    </row>
    <row r="194" spans="1:10" x14ac:dyDescent="0.25">
      <c r="A194" s="316"/>
      <c r="B194" s="97" t="s">
        <v>739</v>
      </c>
      <c r="C194" s="358">
        <v>1</v>
      </c>
      <c r="D194" s="1033"/>
      <c r="E194" s="1085"/>
      <c r="F194" s="1033"/>
      <c r="G194" s="1085"/>
      <c r="H194" s="1033"/>
      <c r="I194" s="1085"/>
    </row>
    <row r="195" spans="1:10" x14ac:dyDescent="0.25">
      <c r="A195" s="68" t="s">
        <v>750</v>
      </c>
      <c r="B195" s="288" t="s">
        <v>743</v>
      </c>
      <c r="C195" s="360">
        <f>A196</f>
        <v>5</v>
      </c>
      <c r="D195" s="979"/>
      <c r="E195" s="1047">
        <f>IF(D195&gt;2500,$C195,IF(D195&gt;2000,$C196,IF(D197&gt;0,$C197,)))</f>
        <v>0</v>
      </c>
      <c r="F195" s="979">
        <v>2600</v>
      </c>
      <c r="G195" s="1047">
        <f>IF(F195&gt;2500,$C195,IF(F195&gt;2000,$C196,IF(F197&gt;0,$C197,)))</f>
        <v>5</v>
      </c>
      <c r="H195" s="979">
        <v>2600</v>
      </c>
      <c r="I195" s="1047">
        <f>IF(H195&gt;2500,$C195,IF(H195&gt;2000,$C196,IF(H197&gt;0,$C197,)))</f>
        <v>5</v>
      </c>
    </row>
    <row r="196" spans="1:10" x14ac:dyDescent="0.25">
      <c r="A196" s="69">
        <v>5</v>
      </c>
      <c r="B196" s="288" t="s">
        <v>742</v>
      </c>
      <c r="C196" s="360">
        <v>2</v>
      </c>
      <c r="D196" s="980"/>
      <c r="E196" s="1047"/>
      <c r="F196" s="980"/>
      <c r="G196" s="1047"/>
      <c r="H196" s="980"/>
      <c r="I196" s="1047"/>
    </row>
    <row r="197" spans="1:10" x14ac:dyDescent="0.25">
      <c r="A197" s="70"/>
      <c r="B197" s="288" t="s">
        <v>741</v>
      </c>
      <c r="C197" s="360">
        <v>0</v>
      </c>
      <c r="D197" s="981"/>
      <c r="E197" s="1047"/>
      <c r="F197" s="981"/>
      <c r="G197" s="1047"/>
      <c r="H197" s="981"/>
      <c r="I197" s="1047"/>
    </row>
    <row r="198" spans="1:10" x14ac:dyDescent="0.25">
      <c r="A198" s="121" t="s">
        <v>744</v>
      </c>
      <c r="B198" s="87" t="s">
        <v>139</v>
      </c>
      <c r="C198" s="358">
        <f>A199</f>
        <v>5</v>
      </c>
      <c r="D198" s="567" t="s">
        <v>108</v>
      </c>
      <c r="E198" s="1078">
        <f>IF(D198="S",$C198,IF(D199="S",$C199,))</f>
        <v>5</v>
      </c>
      <c r="F198" s="567" t="s">
        <v>108</v>
      </c>
      <c r="G198" s="1078">
        <f>IF(F198="S",$C198,IF(F199="S",$C199,))</f>
        <v>5</v>
      </c>
      <c r="H198" s="588" t="s">
        <v>108</v>
      </c>
      <c r="I198" s="1078">
        <f>IF(H198="S",$C198,IF(H199="S",$C199,))</f>
        <v>5</v>
      </c>
    </row>
    <row r="199" spans="1:10" x14ac:dyDescent="0.25">
      <c r="A199" s="316">
        <v>5</v>
      </c>
      <c r="B199" s="87" t="s">
        <v>179</v>
      </c>
      <c r="C199" s="358">
        <v>0</v>
      </c>
      <c r="D199" s="507"/>
      <c r="E199" s="1078"/>
      <c r="F199" s="507"/>
      <c r="G199" s="1078"/>
      <c r="H199" s="588"/>
      <c r="I199" s="1078"/>
    </row>
    <row r="200" spans="1:10" x14ac:dyDescent="0.25">
      <c r="A200" s="68" t="s">
        <v>745</v>
      </c>
      <c r="B200" s="94" t="s">
        <v>139</v>
      </c>
      <c r="C200" s="360">
        <f>A201</f>
        <v>5</v>
      </c>
      <c r="D200" s="506"/>
      <c r="E200" s="1047">
        <f>IF(D200="S",$C200,IF(D201="S",$C201,))</f>
        <v>0</v>
      </c>
      <c r="F200" s="566" t="s">
        <v>108</v>
      </c>
      <c r="G200" s="1047">
        <f>IF(F200="S",$C200,IF(F201="S",$C201,))</f>
        <v>5</v>
      </c>
      <c r="H200" s="587" t="s">
        <v>108</v>
      </c>
      <c r="I200" s="1047">
        <f>IF(H200="S",$C200,IF(H201="S",$C201,))</f>
        <v>5</v>
      </c>
    </row>
    <row r="201" spans="1:10" x14ac:dyDescent="0.25">
      <c r="A201" s="69">
        <v>5</v>
      </c>
      <c r="B201" s="94" t="s">
        <v>179</v>
      </c>
      <c r="C201" s="360">
        <v>0</v>
      </c>
      <c r="D201" s="589" t="s">
        <v>108</v>
      </c>
      <c r="E201" s="1047"/>
      <c r="F201" s="506"/>
      <c r="G201" s="1047"/>
      <c r="H201" s="587"/>
      <c r="I201" s="1047"/>
    </row>
    <row r="202" spans="1:10" x14ac:dyDescent="0.25">
      <c r="A202" s="246" t="s">
        <v>746</v>
      </c>
      <c r="B202" s="267" t="s">
        <v>747</v>
      </c>
      <c r="C202" s="363">
        <f>A203</f>
        <v>5</v>
      </c>
      <c r="D202" s="976">
        <v>3</v>
      </c>
      <c r="E202" s="1078">
        <f>IF(D202&gt;4,$C202,IF(D202&gt;0,$C203,))</f>
        <v>0</v>
      </c>
      <c r="F202" s="976">
        <v>5</v>
      </c>
      <c r="G202" s="1078">
        <f>IF(F202&gt;4,$C202,IF(F202&gt;0,$C203,))</f>
        <v>5</v>
      </c>
      <c r="H202" s="976">
        <v>5</v>
      </c>
      <c r="I202" s="1078">
        <f>IF(H202&gt;4,$C202,IF(H202&gt;0,$C203,))</f>
        <v>5</v>
      </c>
    </row>
    <row r="203" spans="1:10" x14ac:dyDescent="0.25">
      <c r="A203" s="563">
        <v>5</v>
      </c>
      <c r="B203" s="267" t="s">
        <v>748</v>
      </c>
      <c r="C203" s="363">
        <v>0</v>
      </c>
      <c r="D203" s="978"/>
      <c r="E203" s="1078"/>
      <c r="F203" s="978"/>
      <c r="G203" s="1078"/>
      <c r="H203" s="978"/>
      <c r="I203" s="1078"/>
    </row>
    <row r="204" spans="1:10" x14ac:dyDescent="0.25">
      <c r="A204" s="106" t="s">
        <v>749</v>
      </c>
      <c r="B204" s="95" t="s">
        <v>139</v>
      </c>
      <c r="C204" s="361">
        <f>A205</f>
        <v>5</v>
      </c>
      <c r="D204" s="566" t="s">
        <v>108</v>
      </c>
      <c r="E204" s="1047">
        <f>IF(D204="S",$C204,IF(D205="S",$C205,))</f>
        <v>5</v>
      </c>
      <c r="F204" s="589" t="s">
        <v>108</v>
      </c>
      <c r="G204" s="1047">
        <f>IF(F204="S",$C204,IF(F205="S",$C205,))</f>
        <v>5</v>
      </c>
      <c r="H204" s="589" t="s">
        <v>108</v>
      </c>
      <c r="I204" s="1047">
        <f>IF(H204="S",$C204,IF(H205="S",$C205,))</f>
        <v>5</v>
      </c>
    </row>
    <row r="205" spans="1:10" x14ac:dyDescent="0.25">
      <c r="A205" s="564">
        <v>5</v>
      </c>
      <c r="B205" s="95" t="s">
        <v>179</v>
      </c>
      <c r="C205" s="361">
        <v>0</v>
      </c>
      <c r="D205" s="566"/>
      <c r="E205" s="1047"/>
      <c r="F205" s="566"/>
      <c r="G205" s="1047"/>
      <c r="H205" s="587"/>
      <c r="I205" s="1047"/>
    </row>
    <row r="206" spans="1:10" x14ac:dyDescent="0.25">
      <c r="A206" s="246" t="s">
        <v>145</v>
      </c>
      <c r="B206" s="511" t="s">
        <v>173</v>
      </c>
      <c r="C206" s="363">
        <f>A207</f>
        <v>10</v>
      </c>
      <c r="D206" s="976">
        <v>0.8</v>
      </c>
      <c r="E206" s="1078">
        <f>IF(D206&gt;0.5,$C206,IF(D206&gt;0.19,$C207,IF(D206&gt;0,$C208,IF(D206=0,"0"))))</f>
        <v>10</v>
      </c>
      <c r="F206" s="976">
        <v>1</v>
      </c>
      <c r="G206" s="1078">
        <f>IF(F206&gt;0.5,$C206,IF(F206&gt;0.19,$C207,IF(F206&gt;0,$C208,IF(F206=0,"0"))))</f>
        <v>10</v>
      </c>
      <c r="H206" s="976">
        <v>1</v>
      </c>
      <c r="I206" s="1078">
        <f>IF(H206&gt;0.5,$C206,IF(H206&gt;0.19,$C207,IF(H206&gt;0,$C208,IF(H206=0,"0"))))</f>
        <v>10</v>
      </c>
    </row>
    <row r="207" spans="1:10" x14ac:dyDescent="0.25">
      <c r="A207" s="248">
        <v>10</v>
      </c>
      <c r="B207" s="511" t="s">
        <v>174</v>
      </c>
      <c r="C207" s="363">
        <v>4</v>
      </c>
      <c r="D207" s="977"/>
      <c r="E207" s="1078"/>
      <c r="F207" s="977"/>
      <c r="G207" s="1078"/>
      <c r="H207" s="977"/>
      <c r="I207" s="1078"/>
    </row>
    <row r="208" spans="1:10" x14ac:dyDescent="0.25">
      <c r="A208" s="563"/>
      <c r="B208" s="511" t="s">
        <v>175</v>
      </c>
      <c r="C208" s="363">
        <v>0</v>
      </c>
      <c r="D208" s="978"/>
      <c r="E208" s="1078"/>
      <c r="F208" s="978"/>
      <c r="G208" s="1078"/>
      <c r="H208" s="978"/>
      <c r="I208" s="1078"/>
      <c r="J208" s="12"/>
    </row>
    <row r="209" spans="1:11" x14ac:dyDescent="0.25">
      <c r="A209" s="525" t="s">
        <v>50</v>
      </c>
      <c r="B209" s="528">
        <f>SUM(A192:A208)</f>
        <v>45</v>
      </c>
      <c r="C209" s="527"/>
      <c r="D209" s="524"/>
      <c r="E209" s="524">
        <f>SUM(E192:E208)</f>
        <v>21</v>
      </c>
      <c r="F209" s="524"/>
      <c r="G209" s="524">
        <f>SUM(G192:G208)</f>
        <v>43</v>
      </c>
      <c r="H209" s="524"/>
      <c r="I209" s="524">
        <f>SUM(I192:I208)</f>
        <v>43</v>
      </c>
    </row>
    <row r="210" spans="1:11" x14ac:dyDescent="0.25">
      <c r="A210" s="12"/>
      <c r="B210" s="112"/>
      <c r="C210" s="112"/>
      <c r="D210" s="88"/>
      <c r="E210" s="112"/>
      <c r="F210" s="88"/>
      <c r="G210" s="112"/>
      <c r="H210" s="88"/>
      <c r="I210" s="112"/>
    </row>
    <row r="211" spans="1:11" x14ac:dyDescent="0.25">
      <c r="A211" s="12"/>
      <c r="B211" s="112"/>
      <c r="C211" s="88"/>
      <c r="D211" s="1076" t="str">
        <f>Empresas!$A$68</f>
        <v>COMERCIAL DE INDUSTRIAS REUNIDAS</v>
      </c>
      <c r="E211" s="1076"/>
      <c r="F211" s="1086" t="str">
        <f>Empresas!$A$70</f>
        <v>LAUSAN</v>
      </c>
      <c r="G211" s="1087"/>
      <c r="H211" s="1076" t="str">
        <f>Empresas!$A$74</f>
        <v>SERVITEC</v>
      </c>
      <c r="I211" s="1076"/>
    </row>
    <row r="212" spans="1:11" x14ac:dyDescent="0.25">
      <c r="A212" s="532" t="s">
        <v>612</v>
      </c>
      <c r="B212" s="533"/>
      <c r="C212" s="535"/>
      <c r="D212" s="535"/>
      <c r="E212" s="535"/>
      <c r="F212" s="535"/>
      <c r="G212" s="535"/>
      <c r="H212" s="535"/>
      <c r="I212" s="534"/>
    </row>
    <row r="213" spans="1:11" ht="13.8" x14ac:dyDescent="0.3">
      <c r="A213" s="121" t="s">
        <v>751</v>
      </c>
      <c r="B213" s="201" t="s">
        <v>757</v>
      </c>
      <c r="C213" s="358">
        <v>6</v>
      </c>
      <c r="D213" s="976">
        <v>70</v>
      </c>
      <c r="E213" s="1078">
        <f>IF(D213&gt;79.9,$C213,IF(D213&gt;59.9,$C214,IF(D213&gt;0,$C215,IF(D213=0,"0"))))</f>
        <v>3</v>
      </c>
      <c r="F213" s="976">
        <v>100</v>
      </c>
      <c r="G213" s="1078">
        <f>IF(F213&gt;79.9,$C213,IF(F213&gt;59.9,$C214,IF(F213&gt;0,$C215,IF(F213=0,"0"))))</f>
        <v>6</v>
      </c>
      <c r="H213" s="976">
        <v>80</v>
      </c>
      <c r="I213" s="1078">
        <f>IF(H213&gt;79.9,$C213,IF(H213&gt;59.9,$C214,IF(H213&gt;0,$C215,IF(H213=0,"0"))))</f>
        <v>6</v>
      </c>
    </row>
    <row r="214" spans="1:11" ht="13.8" x14ac:dyDescent="0.3">
      <c r="A214" s="315">
        <v>6</v>
      </c>
      <c r="B214" s="201" t="s">
        <v>752</v>
      </c>
      <c r="C214" s="358">
        <v>3</v>
      </c>
      <c r="D214" s="977"/>
      <c r="E214" s="1078"/>
      <c r="F214" s="977"/>
      <c r="G214" s="1078"/>
      <c r="H214" s="977"/>
      <c r="I214" s="1078"/>
    </row>
    <row r="215" spans="1:11" ht="13.8" x14ac:dyDescent="0.3">
      <c r="A215" s="316"/>
      <c r="B215" s="201" t="s">
        <v>753</v>
      </c>
      <c r="C215" s="358">
        <v>0</v>
      </c>
      <c r="D215" s="978"/>
      <c r="E215" s="1078"/>
      <c r="F215" s="978"/>
      <c r="G215" s="1078"/>
      <c r="H215" s="978"/>
      <c r="I215" s="1078"/>
    </row>
    <row r="216" spans="1:11" x14ac:dyDescent="0.25">
      <c r="A216" s="106" t="s">
        <v>135</v>
      </c>
      <c r="B216" s="193" t="s">
        <v>759</v>
      </c>
      <c r="C216" s="570">
        <f>A217</f>
        <v>6</v>
      </c>
      <c r="D216" s="587"/>
      <c r="E216" s="979">
        <f>IF(D216="S",$C216,IF(D217="S",$C217,IF(D218="S",$C218,)))</f>
        <v>4</v>
      </c>
      <c r="F216" s="587" t="s">
        <v>108</v>
      </c>
      <c r="G216" s="979">
        <f>IF(F216="S",$C216,IF(F217="S",$C217,IF(F218="S",$C218,)))</f>
        <v>6</v>
      </c>
      <c r="H216" s="587"/>
      <c r="I216" s="979">
        <f>IF(H216="S",$C216,IF(H217="S",$C217,IF(H218="S",$C218,)))</f>
        <v>4</v>
      </c>
    </row>
    <row r="217" spans="1:11" x14ac:dyDescent="0.25">
      <c r="A217" s="107">
        <v>6</v>
      </c>
      <c r="B217" s="193" t="s">
        <v>806</v>
      </c>
      <c r="C217" s="570">
        <v>4</v>
      </c>
      <c r="D217" s="589" t="s">
        <v>108</v>
      </c>
      <c r="E217" s="980"/>
      <c r="F217" s="587"/>
      <c r="G217" s="980"/>
      <c r="H217" s="891" t="s">
        <v>108</v>
      </c>
      <c r="I217" s="980"/>
    </row>
    <row r="218" spans="1:11" x14ac:dyDescent="0.25">
      <c r="A218" s="107"/>
      <c r="B218" s="193" t="s">
        <v>807</v>
      </c>
      <c r="C218" s="570">
        <v>1</v>
      </c>
      <c r="D218" s="589"/>
      <c r="E218" s="981"/>
      <c r="F218" s="587"/>
      <c r="G218" s="981"/>
      <c r="H218" s="589"/>
      <c r="I218" s="981"/>
    </row>
    <row r="219" spans="1:11" x14ac:dyDescent="0.25">
      <c r="A219" s="203" t="s">
        <v>758</v>
      </c>
      <c r="B219" s="115" t="s">
        <v>755</v>
      </c>
      <c r="C219" s="358">
        <f>A220</f>
        <v>6</v>
      </c>
      <c r="D219" s="976">
        <v>1.6</v>
      </c>
      <c r="E219" s="1078">
        <f>IF(D219&gt;1.5,$C219,IF(D219&gt;0.9,$C220,IF(D219&gt;0,$C221,IF(D219=0,"0"))))</f>
        <v>6</v>
      </c>
      <c r="F219" s="976">
        <v>1.5</v>
      </c>
      <c r="G219" s="1078">
        <f>IF(F219&gt;1.5,$C219,IF(F219&gt;0.9,$C220,IF(F219&gt;0,$C221,IF(F219=0,"0"))))</f>
        <v>3</v>
      </c>
      <c r="H219" s="976">
        <v>1.5</v>
      </c>
      <c r="I219" s="1078">
        <f>IF(H219&gt;1.5,$C219,IF(H219&gt;0.9,$C220,IF(H219&gt;0,$C221,IF(H219=0,"0"))))</f>
        <v>3</v>
      </c>
      <c r="K219" s="101"/>
    </row>
    <row r="220" spans="1:11" x14ac:dyDescent="0.25">
      <c r="A220" s="315">
        <v>6</v>
      </c>
      <c r="B220" s="115" t="s">
        <v>754</v>
      </c>
      <c r="C220" s="358">
        <v>3</v>
      </c>
      <c r="D220" s="977"/>
      <c r="E220" s="1078"/>
      <c r="F220" s="977"/>
      <c r="G220" s="1078"/>
      <c r="H220" s="977"/>
      <c r="I220" s="1078"/>
    </row>
    <row r="221" spans="1:11" x14ac:dyDescent="0.25">
      <c r="A221" s="316"/>
      <c r="B221" s="115" t="s">
        <v>756</v>
      </c>
      <c r="C221" s="358">
        <v>1</v>
      </c>
      <c r="D221" s="978"/>
      <c r="E221" s="1078"/>
      <c r="F221" s="978"/>
      <c r="G221" s="1078"/>
      <c r="H221" s="978"/>
      <c r="I221" s="1078"/>
    </row>
    <row r="222" spans="1:11" x14ac:dyDescent="0.25">
      <c r="A222" s="204" t="s">
        <v>760</v>
      </c>
      <c r="B222" s="193" t="s">
        <v>808</v>
      </c>
      <c r="C222" s="361">
        <v>6</v>
      </c>
      <c r="D222" s="979">
        <v>40</v>
      </c>
      <c r="E222" s="1047">
        <f>IF(D222&gt;99.9,$C222,IF(D222&gt;39.9,$C223,IF(D222&gt;0,$C224,)))</f>
        <v>3</v>
      </c>
      <c r="F222" s="979">
        <v>120</v>
      </c>
      <c r="G222" s="1047">
        <f>IF(F222&gt;99.9,$C222,IF(F222&gt;39.9,$C223,IF(F222&gt;0,$C224,)))</f>
        <v>6</v>
      </c>
      <c r="H222" s="979">
        <v>40</v>
      </c>
      <c r="I222" s="1047">
        <f>IF(H222&gt;99.9,$C222,IF(H222&gt;39.9,$C223,IF(H222&gt;0,$C224,)))</f>
        <v>3</v>
      </c>
      <c r="K222" s="101"/>
    </row>
    <row r="223" spans="1:11" x14ac:dyDescent="0.25">
      <c r="A223" s="107">
        <v>6</v>
      </c>
      <c r="B223" s="193" t="s">
        <v>1111</v>
      </c>
      <c r="C223" s="362">
        <v>3</v>
      </c>
      <c r="D223" s="980"/>
      <c r="E223" s="1047"/>
      <c r="F223" s="980"/>
      <c r="G223" s="1047"/>
      <c r="H223" s="980"/>
      <c r="I223" s="1047"/>
    </row>
    <row r="224" spans="1:11" x14ac:dyDescent="0.25">
      <c r="A224" s="311"/>
      <c r="B224" s="193" t="s">
        <v>1112</v>
      </c>
      <c r="C224" s="362">
        <v>1</v>
      </c>
      <c r="D224" s="981"/>
      <c r="E224" s="1047"/>
      <c r="F224" s="981"/>
      <c r="G224" s="1047"/>
      <c r="H224" s="981"/>
      <c r="I224" s="1047"/>
    </row>
    <row r="225" spans="1:10" x14ac:dyDescent="0.25">
      <c r="A225" s="238" t="s">
        <v>761</v>
      </c>
      <c r="B225" s="201" t="s">
        <v>1114</v>
      </c>
      <c r="C225" s="358">
        <f>A226</f>
        <v>6</v>
      </c>
      <c r="D225" s="976">
        <v>1.8</v>
      </c>
      <c r="E225" s="1078">
        <f>IF(D225&gt;3,$C225,IF(D225&gt;1.49,$C226,IF(D225&gt;0,$C227,)))</f>
        <v>3</v>
      </c>
      <c r="F225" s="976">
        <v>5</v>
      </c>
      <c r="G225" s="1078">
        <f>IF(F225&gt;3,$C225,IF(F225&gt;1.49,$C226,IF(F225&gt;0,$C227,)))</f>
        <v>6</v>
      </c>
      <c r="H225" s="976">
        <v>1.8</v>
      </c>
      <c r="I225" s="1078">
        <f>IF(H225&gt;3,$C225,IF(H225&gt;1.49,$C226,IF(H225&gt;0,$C227,)))</f>
        <v>3</v>
      </c>
    </row>
    <row r="226" spans="1:10" x14ac:dyDescent="0.25">
      <c r="A226" s="248">
        <v>6</v>
      </c>
      <c r="B226" s="201" t="s">
        <v>1113</v>
      </c>
      <c r="C226" s="358">
        <v>3</v>
      </c>
      <c r="D226" s="977"/>
      <c r="E226" s="1078"/>
      <c r="F226" s="977"/>
      <c r="G226" s="1078"/>
      <c r="H226" s="977"/>
      <c r="I226" s="1078"/>
    </row>
    <row r="227" spans="1:10" x14ac:dyDescent="0.25">
      <c r="A227" s="562"/>
      <c r="B227" s="201" t="s">
        <v>810</v>
      </c>
      <c r="C227" s="358">
        <v>0</v>
      </c>
      <c r="D227" s="978"/>
      <c r="E227" s="1078"/>
      <c r="F227" s="978"/>
      <c r="G227" s="1078"/>
      <c r="H227" s="978"/>
      <c r="I227" s="1078"/>
    </row>
    <row r="228" spans="1:10" x14ac:dyDescent="0.25">
      <c r="A228" s="106" t="s">
        <v>185</v>
      </c>
      <c r="B228" s="193" t="s">
        <v>1116</v>
      </c>
      <c r="C228" s="361">
        <v>6</v>
      </c>
      <c r="D228" s="979">
        <v>10</v>
      </c>
      <c r="E228" s="1047">
        <f>IF(D228&gt;9,$C228,IF(D228&gt;3.9,$C229,IF(D228&gt;0,$C230,)))</f>
        <v>6</v>
      </c>
      <c r="F228" s="979">
        <v>10</v>
      </c>
      <c r="G228" s="1047">
        <f>IF(F228&gt;9,$C228,IF(F228&gt;3.9,$C229,IF(F228&gt;0,$C230,)))</f>
        <v>6</v>
      </c>
      <c r="H228" s="979">
        <v>10</v>
      </c>
      <c r="I228" s="1047">
        <f>IF(H228&gt;9,$C228,IF(H228&gt;3.9,$C229,IF(H228&gt;0,$C230,)))</f>
        <v>6</v>
      </c>
    </row>
    <row r="229" spans="1:10" x14ac:dyDescent="0.25">
      <c r="A229" s="107">
        <v>6</v>
      </c>
      <c r="B229" s="193" t="s">
        <v>1115</v>
      </c>
      <c r="C229" s="361">
        <v>3</v>
      </c>
      <c r="D229" s="980"/>
      <c r="E229" s="1047"/>
      <c r="F229" s="980"/>
      <c r="G229" s="1047"/>
      <c r="H229" s="980"/>
      <c r="I229" s="1047"/>
    </row>
    <row r="230" spans="1:10" x14ac:dyDescent="0.25">
      <c r="A230" s="565"/>
      <c r="B230" s="512" t="s">
        <v>182</v>
      </c>
      <c r="C230" s="361">
        <v>0</v>
      </c>
      <c r="D230" s="981"/>
      <c r="E230" s="1047"/>
      <c r="F230" s="981"/>
      <c r="G230" s="1047"/>
      <c r="H230" s="981"/>
      <c r="I230" s="1047"/>
    </row>
    <row r="231" spans="1:10" x14ac:dyDescent="0.25">
      <c r="A231" s="246" t="s">
        <v>186</v>
      </c>
      <c r="B231" s="207" t="s">
        <v>764</v>
      </c>
      <c r="C231" s="363">
        <f>A232</f>
        <v>6</v>
      </c>
      <c r="D231" s="976">
        <v>5</v>
      </c>
      <c r="E231" s="1078">
        <f>IF(D231&gt;4.5,$C231,IF(D231&gt;2.49,$C232,IF(D231&gt;0,$C233,IF(D231=0,"0"))))</f>
        <v>6</v>
      </c>
      <c r="F231" s="976">
        <v>5</v>
      </c>
      <c r="G231" s="1078">
        <f>IF(F231&gt;4.5,$C231,IF(F231&gt;2.49,$C232,IF(F231&gt;0,$C233,IF(F231=0,"0"))))</f>
        <v>6</v>
      </c>
      <c r="H231" s="976"/>
      <c r="I231" s="1078" t="str">
        <f>IF(H231&gt;4.5,$C231,IF(H231&gt;2.49,$C232,IF(H231&gt;0,$C233,IF(H231=0,"0"))))</f>
        <v>0</v>
      </c>
    </row>
    <row r="232" spans="1:10" x14ac:dyDescent="0.25">
      <c r="A232" s="562">
        <v>6</v>
      </c>
      <c r="B232" s="207" t="s">
        <v>763</v>
      </c>
      <c r="C232" s="363">
        <v>3</v>
      </c>
      <c r="D232" s="977"/>
      <c r="E232" s="1078"/>
      <c r="F232" s="977"/>
      <c r="G232" s="1078"/>
      <c r="H232" s="977"/>
      <c r="I232" s="1078"/>
    </row>
    <row r="233" spans="1:10" x14ac:dyDescent="0.25">
      <c r="A233" s="563"/>
      <c r="B233" s="207" t="s">
        <v>762</v>
      </c>
      <c r="C233" s="363">
        <v>0</v>
      </c>
      <c r="D233" s="978"/>
      <c r="E233" s="1078"/>
      <c r="F233" s="978"/>
      <c r="G233" s="1078"/>
      <c r="H233" s="978"/>
      <c r="I233" s="1078"/>
    </row>
    <row r="234" spans="1:10" x14ac:dyDescent="0.25">
      <c r="A234" s="106" t="s">
        <v>765</v>
      </c>
      <c r="B234" s="193" t="s">
        <v>139</v>
      </c>
      <c r="C234" s="361">
        <f>A235</f>
        <v>3</v>
      </c>
      <c r="D234" s="570"/>
      <c r="E234" s="1047">
        <f>IF(D234="S",$C234,IF(D235="S",$C235,))</f>
        <v>0</v>
      </c>
      <c r="F234" s="114" t="s">
        <v>108</v>
      </c>
      <c r="G234" s="1047">
        <f>IF(F234="S",$C234,IF(F235="S",$C235,))</f>
        <v>3</v>
      </c>
      <c r="H234" s="570"/>
      <c r="I234" s="1047">
        <f>IF(H234="S",$C234,IF(H235="S",$C235,))</f>
        <v>0</v>
      </c>
      <c r="J234" s="112"/>
    </row>
    <row r="235" spans="1:10" x14ac:dyDescent="0.25">
      <c r="A235" s="564">
        <v>3</v>
      </c>
      <c r="B235" s="193" t="s">
        <v>179</v>
      </c>
      <c r="C235" s="361">
        <v>0</v>
      </c>
      <c r="D235" s="114" t="s">
        <v>108</v>
      </c>
      <c r="E235" s="1047"/>
      <c r="F235" s="570"/>
      <c r="G235" s="1047"/>
      <c r="H235" s="114" t="s">
        <v>108</v>
      </c>
      <c r="I235" s="1047"/>
      <c r="J235" s="112"/>
    </row>
    <row r="236" spans="1:10" x14ac:dyDescent="0.25">
      <c r="A236" s="522" t="s">
        <v>50</v>
      </c>
      <c r="B236" s="528">
        <f>SUM(A213:A235)</f>
        <v>45</v>
      </c>
      <c r="C236" s="527"/>
      <c r="D236" s="524"/>
      <c r="E236" s="524">
        <f>SUM(E213:E235)</f>
        <v>31</v>
      </c>
      <c r="F236" s="524"/>
      <c r="G236" s="524">
        <f>SUM(G213:G235)</f>
        <v>42</v>
      </c>
      <c r="H236" s="524"/>
      <c r="I236" s="524">
        <f>SUM(I213:I235)</f>
        <v>25</v>
      </c>
    </row>
    <row r="237" spans="1:10" x14ac:dyDescent="0.25">
      <c r="A237" s="12"/>
      <c r="B237" s="112"/>
      <c r="C237" s="112"/>
      <c r="D237" s="88"/>
      <c r="E237" s="112"/>
      <c r="F237" s="88"/>
      <c r="G237" s="112"/>
      <c r="H237" s="88"/>
      <c r="I237" s="112"/>
    </row>
    <row r="238" spans="1:10" x14ac:dyDescent="0.25">
      <c r="C238" s="27"/>
      <c r="D238" s="1076" t="str">
        <f>Empresas!$A$68</f>
        <v>COMERCIAL DE INDUSTRIAS REUNIDAS</v>
      </c>
      <c r="E238" s="1076"/>
      <c r="F238" s="1086" t="str">
        <f>Empresas!$A$70</f>
        <v>LAUSAN</v>
      </c>
      <c r="G238" s="1087"/>
      <c r="H238" s="1076" t="str">
        <f>Empresas!$A$74</f>
        <v>SERVITEC</v>
      </c>
      <c r="I238" s="1076"/>
    </row>
    <row r="239" spans="1:10" x14ac:dyDescent="0.25">
      <c r="A239" s="532" t="s">
        <v>110</v>
      </c>
      <c r="B239" s="533"/>
      <c r="C239" s="535"/>
      <c r="D239" s="535"/>
      <c r="E239" s="535"/>
      <c r="F239" s="535"/>
      <c r="G239" s="535"/>
      <c r="H239" s="535"/>
      <c r="I239" s="534"/>
    </row>
    <row r="240" spans="1:10" x14ac:dyDescent="0.25">
      <c r="A240" s="121" t="s">
        <v>146</v>
      </c>
      <c r="B240" s="201" t="s">
        <v>768</v>
      </c>
      <c r="C240" s="358">
        <f>A241</f>
        <v>8</v>
      </c>
      <c r="D240" s="577" t="s">
        <v>108</v>
      </c>
      <c r="E240" s="1078">
        <f>IF(D240="S",$C240,IF(D241="S",$C241,IF(D242="S",$C242,)))</f>
        <v>8</v>
      </c>
      <c r="F240" s="507"/>
      <c r="G240" s="1078">
        <f>IF(F240="S",$C240,IF(F241="S",$C241,IF(F242="S",$C242,)))</f>
        <v>4</v>
      </c>
      <c r="H240" s="507"/>
      <c r="I240" s="1078">
        <f>IF(H240="S",$C240,IF(H241="S",$C241,IF(H242="S",$C242,)))</f>
        <v>4</v>
      </c>
    </row>
    <row r="241" spans="1:10" x14ac:dyDescent="0.25">
      <c r="A241" s="143">
        <v>8</v>
      </c>
      <c r="B241" s="201" t="s">
        <v>1117</v>
      </c>
      <c r="C241" s="358">
        <v>4</v>
      </c>
      <c r="D241" s="507"/>
      <c r="E241" s="1078"/>
      <c r="F241" s="577" t="s">
        <v>108</v>
      </c>
      <c r="G241" s="1078"/>
      <c r="H241" s="887" t="s">
        <v>108</v>
      </c>
      <c r="I241" s="1078"/>
    </row>
    <row r="242" spans="1:10" x14ac:dyDescent="0.25">
      <c r="A242" s="144"/>
      <c r="B242" s="201" t="s">
        <v>1118</v>
      </c>
      <c r="C242" s="358">
        <v>1</v>
      </c>
      <c r="D242" s="507"/>
      <c r="E242" s="1078"/>
      <c r="F242" s="507"/>
      <c r="G242" s="1078"/>
      <c r="H242" s="507"/>
      <c r="I242" s="1078"/>
    </row>
    <row r="243" spans="1:10" x14ac:dyDescent="0.25">
      <c r="A243" s="68" t="s">
        <v>176</v>
      </c>
      <c r="B243" s="13" t="s">
        <v>769</v>
      </c>
      <c r="C243" s="360">
        <f>A244</f>
        <v>8</v>
      </c>
      <c r="D243" s="576" t="s">
        <v>108</v>
      </c>
      <c r="E243" s="1047">
        <f>IF(D243="S",$C243,IF(D244="S",$C244,IF(D245="S",$C245,)))</f>
        <v>8</v>
      </c>
      <c r="F243" s="506"/>
      <c r="G243" s="1047">
        <f>IF(F243="S",$C243,IF(F244="S",$C244,IF(F245="S",$C245,)))</f>
        <v>6</v>
      </c>
      <c r="H243" s="506"/>
      <c r="I243" s="1047">
        <f>IF(H243="S",$C243,IF(H244="S",$C244,IF(H245="S",$C245,)))</f>
        <v>6</v>
      </c>
    </row>
    <row r="244" spans="1:10" x14ac:dyDescent="0.25">
      <c r="A244" s="69">
        <v>8</v>
      </c>
      <c r="B244" s="13" t="s">
        <v>177</v>
      </c>
      <c r="C244" s="360">
        <v>6</v>
      </c>
      <c r="D244" s="506"/>
      <c r="E244" s="1047"/>
      <c r="F244" s="576" t="s">
        <v>108</v>
      </c>
      <c r="G244" s="1047"/>
      <c r="H244" s="597" t="s">
        <v>108</v>
      </c>
      <c r="I244" s="1047"/>
    </row>
    <row r="245" spans="1:10" x14ac:dyDescent="0.25">
      <c r="A245" s="70"/>
      <c r="B245" s="13" t="s">
        <v>178</v>
      </c>
      <c r="C245" s="360">
        <v>1</v>
      </c>
      <c r="D245" s="506"/>
      <c r="E245" s="1047"/>
      <c r="F245" s="506"/>
      <c r="G245" s="1047"/>
      <c r="H245" s="506"/>
      <c r="I245" s="1047"/>
    </row>
    <row r="246" spans="1:10" x14ac:dyDescent="0.25">
      <c r="A246" s="121" t="s">
        <v>41</v>
      </c>
      <c r="B246" s="115" t="s">
        <v>766</v>
      </c>
      <c r="C246" s="358">
        <f>A247</f>
        <v>8</v>
      </c>
      <c r="D246" s="577"/>
      <c r="E246" s="976">
        <f>IF(D246="S",$C246,IF(D247="S",$C247,IF(D248="S",$C248,)))</f>
        <v>6</v>
      </c>
      <c r="F246" s="577" t="s">
        <v>108</v>
      </c>
      <c r="G246" s="976">
        <f>IF(F246="S",$C246,IF(F247="S",$C247,IF(F248="S",$C248,)))</f>
        <v>8</v>
      </c>
      <c r="H246" s="577"/>
      <c r="I246" s="976">
        <f>IF(H246="S",$C246,IF(H247="S",$C247,IF(H248="S",$C248,)))</f>
        <v>6</v>
      </c>
    </row>
    <row r="247" spans="1:10" x14ac:dyDescent="0.25">
      <c r="A247" s="143">
        <v>8</v>
      </c>
      <c r="B247" s="115" t="s">
        <v>811</v>
      </c>
      <c r="C247" s="358">
        <v>6</v>
      </c>
      <c r="D247" s="577" t="s">
        <v>108</v>
      </c>
      <c r="E247" s="977"/>
      <c r="F247" s="577"/>
      <c r="G247" s="977"/>
      <c r="H247" s="598" t="s">
        <v>108</v>
      </c>
      <c r="I247" s="977"/>
    </row>
    <row r="248" spans="1:10" x14ac:dyDescent="0.25">
      <c r="A248" s="144"/>
      <c r="B248" s="115" t="s">
        <v>180</v>
      </c>
      <c r="C248" s="358">
        <v>0</v>
      </c>
      <c r="D248" s="577"/>
      <c r="E248" s="978"/>
      <c r="F248" s="577"/>
      <c r="G248" s="978"/>
      <c r="H248" s="577"/>
      <c r="I248" s="978"/>
    </row>
    <row r="249" spans="1:10" x14ac:dyDescent="0.25">
      <c r="A249" s="106" t="s">
        <v>185</v>
      </c>
      <c r="B249" s="512" t="s">
        <v>184</v>
      </c>
      <c r="C249" s="361">
        <f>A250</f>
        <v>8</v>
      </c>
      <c r="D249" s="979"/>
      <c r="E249" s="1047">
        <f>IF(D249&gt;10,$C249,IF(D249&gt;4.9,$C250,IF(D249&gt;0,$C251,)))</f>
        <v>0</v>
      </c>
      <c r="F249" s="979">
        <v>10</v>
      </c>
      <c r="G249" s="1047">
        <f>IF(F249&gt;10,$C249,IF(F249&gt;4.9,$C250,IF(F249&gt;0,$C251,)))</f>
        <v>3</v>
      </c>
      <c r="H249" s="979"/>
      <c r="I249" s="1047">
        <f>IF(H249&gt;10,$C249,IF(H249&gt;4.9,$C250,IF(H249&gt;0,$C251,)))</f>
        <v>0</v>
      </c>
    </row>
    <row r="250" spans="1:10" x14ac:dyDescent="0.25">
      <c r="A250" s="107">
        <v>8</v>
      </c>
      <c r="B250" s="512" t="s">
        <v>183</v>
      </c>
      <c r="C250" s="361">
        <v>3</v>
      </c>
      <c r="D250" s="980"/>
      <c r="E250" s="1047"/>
      <c r="F250" s="980"/>
      <c r="G250" s="1047"/>
      <c r="H250" s="980"/>
      <c r="I250" s="1047"/>
    </row>
    <row r="251" spans="1:10" x14ac:dyDescent="0.25">
      <c r="A251" s="595"/>
      <c r="B251" s="512" t="s">
        <v>182</v>
      </c>
      <c r="C251" s="361">
        <v>0</v>
      </c>
      <c r="D251" s="981"/>
      <c r="E251" s="1047"/>
      <c r="F251" s="981"/>
      <c r="G251" s="1047"/>
      <c r="H251" s="981"/>
      <c r="I251" s="1047"/>
    </row>
    <row r="252" spans="1:10" x14ac:dyDescent="0.25">
      <c r="A252" s="246" t="s">
        <v>186</v>
      </c>
      <c r="B252" s="207" t="s">
        <v>764</v>
      </c>
      <c r="C252" s="363">
        <f>A253</f>
        <v>7</v>
      </c>
      <c r="D252" s="976">
        <v>5</v>
      </c>
      <c r="E252" s="976">
        <f>IF(D252&gt;4.5,$C252,IF(D252&gt;2.49,$C253,IF(D252&gt;0,$C254,IF(D252=0,"0"))))</f>
        <v>7</v>
      </c>
      <c r="F252" s="976">
        <v>5</v>
      </c>
      <c r="G252" s="976">
        <f>IF(F252&gt;4.5,$C252,IF(F252&gt;2.49,$C253,IF(F252&gt;0,$C254,IF(F252=0,"0"))))</f>
        <v>7</v>
      </c>
      <c r="H252" s="976">
        <v>5</v>
      </c>
      <c r="I252" s="976">
        <f>IF(H252&gt;4.5,$C252,IF(H252&gt;2.49,$C253,IF(H252&gt;0,$C254,IF(H252=0,"0"))))</f>
        <v>7</v>
      </c>
    </row>
    <row r="253" spans="1:10" x14ac:dyDescent="0.25">
      <c r="A253" s="592">
        <v>7</v>
      </c>
      <c r="B253" s="207" t="s">
        <v>763</v>
      </c>
      <c r="C253" s="363">
        <v>3</v>
      </c>
      <c r="D253" s="977"/>
      <c r="E253" s="977"/>
      <c r="F253" s="977"/>
      <c r="G253" s="977"/>
      <c r="H253" s="977"/>
      <c r="I253" s="977"/>
    </row>
    <row r="254" spans="1:10" x14ac:dyDescent="0.25">
      <c r="A254" s="593"/>
      <c r="B254" s="207" t="s">
        <v>762</v>
      </c>
      <c r="C254" s="363">
        <v>0</v>
      </c>
      <c r="D254" s="978"/>
      <c r="E254" s="978"/>
      <c r="F254" s="978"/>
      <c r="G254" s="978"/>
      <c r="H254" s="978"/>
      <c r="I254" s="978"/>
    </row>
    <row r="255" spans="1:10" x14ac:dyDescent="0.25">
      <c r="A255" s="106" t="s">
        <v>49</v>
      </c>
      <c r="B255" s="512" t="s">
        <v>181</v>
      </c>
      <c r="C255" s="361">
        <f>A256</f>
        <v>6</v>
      </c>
      <c r="D255" s="602"/>
      <c r="E255" s="1047">
        <f>IF(D255="S",$C255,IF(D256="S",$C256,))</f>
        <v>1</v>
      </c>
      <c r="F255" s="114" t="s">
        <v>108</v>
      </c>
      <c r="G255" s="1047">
        <f>IF(F255="S",$C255,IF(F256="S",$C256,))</f>
        <v>6</v>
      </c>
      <c r="H255" s="602"/>
      <c r="I255" s="1047">
        <f>IF(H255="S",$C255,IF(H256="S",$C256,))</f>
        <v>1</v>
      </c>
      <c r="J255" s="12"/>
    </row>
    <row r="256" spans="1:10" x14ac:dyDescent="0.25">
      <c r="A256" s="594">
        <v>6</v>
      </c>
      <c r="B256" s="512" t="s">
        <v>812</v>
      </c>
      <c r="C256" s="361">
        <v>1</v>
      </c>
      <c r="D256" s="602" t="s">
        <v>108</v>
      </c>
      <c r="E256" s="1047"/>
      <c r="F256" s="602"/>
      <c r="G256" s="1047"/>
      <c r="H256" s="602" t="s">
        <v>108</v>
      </c>
      <c r="I256" s="1047"/>
      <c r="J256" s="12"/>
    </row>
    <row r="257" spans="1:9" x14ac:dyDescent="0.25">
      <c r="A257" s="522" t="s">
        <v>50</v>
      </c>
      <c r="B257" s="528">
        <f>SUM(A240:A256)</f>
        <v>45</v>
      </c>
      <c r="C257" s="527"/>
      <c r="D257" s="524"/>
      <c r="E257" s="524">
        <f>SUM(E240:E256)</f>
        <v>30</v>
      </c>
      <c r="F257" s="524"/>
      <c r="G257" s="524">
        <f>SUM(G240:G256)</f>
        <v>34</v>
      </c>
      <c r="H257" s="524"/>
      <c r="I257" s="524">
        <f>SUM(I240:I256)</f>
        <v>24</v>
      </c>
    </row>
    <row r="258" spans="1:9" x14ac:dyDescent="0.25">
      <c r="B258" s="12"/>
      <c r="C258" s="12"/>
      <c r="D258" s="199"/>
      <c r="E258" s="12"/>
      <c r="F258" s="199"/>
      <c r="G258" s="12"/>
      <c r="H258" s="199"/>
      <c r="I258" s="12"/>
    </row>
    <row r="259" spans="1:9" x14ac:dyDescent="0.25">
      <c r="A259" s="12"/>
      <c r="B259" s="12"/>
      <c r="C259" s="199"/>
      <c r="D259" s="1076" t="str">
        <f>Empresas!$A$68</f>
        <v>COMERCIAL DE INDUSTRIAS REUNIDAS</v>
      </c>
      <c r="E259" s="1076"/>
      <c r="F259" s="1086" t="str">
        <f>Empresas!$A$70</f>
        <v>LAUSAN</v>
      </c>
      <c r="G259" s="1087"/>
      <c r="H259" s="1076" t="str">
        <f>Empresas!$A$74</f>
        <v>SERVITEC</v>
      </c>
      <c r="I259" s="1076"/>
    </row>
    <row r="260" spans="1:9" x14ac:dyDescent="0.25">
      <c r="A260" s="532" t="s">
        <v>614</v>
      </c>
      <c r="B260" s="533"/>
      <c r="C260" s="535"/>
      <c r="D260" s="535"/>
      <c r="E260" s="535"/>
      <c r="F260" s="535"/>
      <c r="G260" s="535"/>
      <c r="H260" s="535"/>
      <c r="I260" s="534"/>
    </row>
    <row r="261" spans="1:9" x14ac:dyDescent="0.25">
      <c r="A261" s="121" t="s">
        <v>146</v>
      </c>
      <c r="B261" s="201" t="s">
        <v>770</v>
      </c>
      <c r="C261" s="358">
        <f>A262</f>
        <v>10</v>
      </c>
      <c r="D261" s="507"/>
      <c r="E261" s="1078">
        <f>IF(D261="S",$C261,IF(D262="S",$C262,IF(D263="S",$C263,)))</f>
        <v>8</v>
      </c>
      <c r="F261" s="577" t="s">
        <v>108</v>
      </c>
      <c r="G261" s="1078">
        <f>IF(F261="S",$C261,IF(F262="S",$C262,IF(F263="S",$C263,)))</f>
        <v>10</v>
      </c>
      <c r="H261" s="507"/>
      <c r="I261" s="1078">
        <f>IF(H261="S",$C261,IF(H262="S",$C262,IF(H263="S",$C263,)))</f>
        <v>8</v>
      </c>
    </row>
    <row r="262" spans="1:9" x14ac:dyDescent="0.25">
      <c r="A262" s="315">
        <v>10</v>
      </c>
      <c r="B262" s="201" t="s">
        <v>813</v>
      </c>
      <c r="C262" s="358">
        <v>8</v>
      </c>
      <c r="D262" s="577" t="s">
        <v>108</v>
      </c>
      <c r="E262" s="1078"/>
      <c r="F262" s="577"/>
      <c r="G262" s="1078"/>
      <c r="H262" s="598" t="s">
        <v>108</v>
      </c>
      <c r="I262" s="1078"/>
    </row>
    <row r="263" spans="1:9" x14ac:dyDescent="0.25">
      <c r="A263" s="316"/>
      <c r="B263" s="201" t="s">
        <v>58</v>
      </c>
      <c r="C263" s="358">
        <v>1</v>
      </c>
      <c r="D263" s="507"/>
      <c r="E263" s="1078"/>
      <c r="F263" s="507"/>
      <c r="G263" s="1078"/>
      <c r="H263" s="507"/>
      <c r="I263" s="1078"/>
    </row>
    <row r="264" spans="1:9" x14ac:dyDescent="0.25">
      <c r="A264" s="68" t="s">
        <v>176</v>
      </c>
      <c r="B264" s="13" t="s">
        <v>771</v>
      </c>
      <c r="C264" s="360">
        <f>A265</f>
        <v>10</v>
      </c>
      <c r="D264" s="576"/>
      <c r="E264" s="1047">
        <f>IF(D264="S",$C264,IF(D265="S",$C265,IF(D266="S",$C266,)))</f>
        <v>8</v>
      </c>
      <c r="F264" s="576" t="s">
        <v>108</v>
      </c>
      <c r="G264" s="1047">
        <f>IF(F264="S",$C264,IF(F265="S",$C265,IF(F266="S",$C266,)))</f>
        <v>10</v>
      </c>
      <c r="H264" s="506"/>
      <c r="I264" s="1047">
        <f>IF(H264="S",$C264,IF(H265="S",$C265,IF(H266="S",$C266,)))</f>
        <v>8</v>
      </c>
    </row>
    <row r="265" spans="1:9" x14ac:dyDescent="0.25">
      <c r="A265" s="69">
        <v>10</v>
      </c>
      <c r="B265" s="13" t="s">
        <v>177</v>
      </c>
      <c r="C265" s="360">
        <v>8</v>
      </c>
      <c r="D265" s="576" t="s">
        <v>108</v>
      </c>
      <c r="E265" s="1047"/>
      <c r="F265" s="506"/>
      <c r="G265" s="1047"/>
      <c r="H265" s="597" t="s">
        <v>108</v>
      </c>
      <c r="I265" s="1047"/>
    </row>
    <row r="266" spans="1:9" x14ac:dyDescent="0.25">
      <c r="A266" s="70"/>
      <c r="B266" s="13" t="s">
        <v>178</v>
      </c>
      <c r="C266" s="360">
        <v>0</v>
      </c>
      <c r="D266" s="506"/>
      <c r="E266" s="1047"/>
      <c r="F266" s="506"/>
      <c r="G266" s="1047"/>
      <c r="H266" s="506"/>
      <c r="I266" s="1047"/>
    </row>
    <row r="267" spans="1:9" x14ac:dyDescent="0.25">
      <c r="A267" s="246" t="s">
        <v>145</v>
      </c>
      <c r="B267" s="511" t="s">
        <v>783</v>
      </c>
      <c r="C267" s="363">
        <f>A268</f>
        <v>6</v>
      </c>
      <c r="D267" s="976">
        <v>0.8</v>
      </c>
      <c r="E267" s="1078">
        <f>IF(D267&gt;2.5,$C267,IF(D267&gt;0.49,$C268,IF(D267&gt;0,$C269,IF(D267=0,"0"))))</f>
        <v>3</v>
      </c>
      <c r="F267" s="976">
        <v>3.5</v>
      </c>
      <c r="G267" s="1078">
        <f>IF(F267&gt;2.5,$C267,IF(F267&gt;0.49,$C268,IF(F267&gt;0,$C269,IF(F267=0,"0"))))</f>
        <v>6</v>
      </c>
      <c r="H267" s="976">
        <v>1.5</v>
      </c>
      <c r="I267" s="1078">
        <f>IF(H267&gt;2.5,$C267,IF(H267&gt;0.49,$C268,IF(H267&gt;0,$C269,IF(H267=0,"0"))))</f>
        <v>3</v>
      </c>
    </row>
    <row r="268" spans="1:9" x14ac:dyDescent="0.25">
      <c r="A268" s="248">
        <v>6</v>
      </c>
      <c r="B268" s="511" t="s">
        <v>782</v>
      </c>
      <c r="C268" s="363">
        <v>3</v>
      </c>
      <c r="D268" s="977"/>
      <c r="E268" s="1078"/>
      <c r="F268" s="977"/>
      <c r="G268" s="1078"/>
      <c r="H268" s="977"/>
      <c r="I268" s="1078"/>
    </row>
    <row r="269" spans="1:9" x14ac:dyDescent="0.25">
      <c r="A269" s="575"/>
      <c r="B269" s="511" t="s">
        <v>781</v>
      </c>
      <c r="C269" s="363">
        <v>0</v>
      </c>
      <c r="D269" s="978"/>
      <c r="E269" s="1078"/>
      <c r="F269" s="978"/>
      <c r="G269" s="1078"/>
      <c r="H269" s="978"/>
      <c r="I269" s="1078"/>
    </row>
    <row r="270" spans="1:9" x14ac:dyDescent="0.25">
      <c r="A270" s="106" t="s">
        <v>189</v>
      </c>
      <c r="B270" s="193" t="s">
        <v>771</v>
      </c>
      <c r="C270" s="361">
        <v>6</v>
      </c>
      <c r="D270" s="506"/>
      <c r="E270" s="1047">
        <f>IF(D270="S",$C270,IF(D271="S",$C271,IF(D272="S",$C272,)))</f>
        <v>4</v>
      </c>
      <c r="F270" s="506"/>
      <c r="G270" s="1047">
        <f>IF(F270="S",$C270,IF(F271="S",$C271,IF(F272="S",$C272,)))</f>
        <v>1</v>
      </c>
      <c r="H270" s="506"/>
      <c r="I270" s="1047">
        <f>IF(H270="S",$C270,IF(H271="S",$C271,IF(H272="S",$C272,)))</f>
        <v>4</v>
      </c>
    </row>
    <row r="271" spans="1:9" x14ac:dyDescent="0.25">
      <c r="A271" s="107">
        <v>6</v>
      </c>
      <c r="B271" s="193" t="s">
        <v>772</v>
      </c>
      <c r="C271" s="362">
        <v>4</v>
      </c>
      <c r="D271" s="576" t="s">
        <v>108</v>
      </c>
      <c r="E271" s="1047"/>
      <c r="F271" s="506"/>
      <c r="G271" s="1047"/>
      <c r="H271" s="597" t="s">
        <v>108</v>
      </c>
      <c r="I271" s="1047"/>
    </row>
    <row r="272" spans="1:9" x14ac:dyDescent="0.25">
      <c r="A272" s="311"/>
      <c r="B272" s="193" t="s">
        <v>775</v>
      </c>
      <c r="C272" s="362">
        <v>1</v>
      </c>
      <c r="D272" s="506"/>
      <c r="E272" s="1047"/>
      <c r="F272" s="576" t="s">
        <v>108</v>
      </c>
      <c r="G272" s="1047"/>
      <c r="H272" s="506"/>
      <c r="I272" s="1047"/>
    </row>
    <row r="273" spans="1:9" x14ac:dyDescent="0.25">
      <c r="A273" s="121" t="s">
        <v>773</v>
      </c>
      <c r="B273" s="201" t="s">
        <v>1119</v>
      </c>
      <c r="C273" s="358">
        <f>A274</f>
        <v>6</v>
      </c>
      <c r="D273" s="976">
        <v>6</v>
      </c>
      <c r="E273" s="1078">
        <f>IF(D273&gt;6.99,$C273,IF(D273&gt;5.9,$C274,IF(D273&gt;0,$C275,IF(D273=0,"0"))))</f>
        <v>3</v>
      </c>
      <c r="F273" s="976">
        <v>6</v>
      </c>
      <c r="G273" s="1078">
        <f>IF(F273&gt;6.99,$C273,IF(F273&gt;5.9,$C274,IF(F273&gt;0,$C275,IF(F273=0,"0"))))</f>
        <v>3</v>
      </c>
      <c r="H273" s="976">
        <v>8</v>
      </c>
      <c r="I273" s="1078">
        <f>IF(H273&gt;6.99,$C273,IF(H273&gt;5.9,$C274,IF(H273&gt;0,$C275,IF(H273=0,"0"))))</f>
        <v>6</v>
      </c>
    </row>
    <row r="274" spans="1:9" x14ac:dyDescent="0.25">
      <c r="A274" s="71">
        <v>6</v>
      </c>
      <c r="B274" s="201" t="s">
        <v>1120</v>
      </c>
      <c r="C274" s="358">
        <v>3</v>
      </c>
      <c r="D274" s="977"/>
      <c r="E274" s="1078"/>
      <c r="F274" s="977"/>
      <c r="G274" s="1078"/>
      <c r="H274" s="977"/>
      <c r="I274" s="1078"/>
    </row>
    <row r="275" spans="1:9" x14ac:dyDescent="0.25">
      <c r="A275" s="316"/>
      <c r="B275" s="201" t="s">
        <v>1121</v>
      </c>
      <c r="C275" s="358">
        <v>0</v>
      </c>
      <c r="D275" s="978"/>
      <c r="E275" s="1078"/>
      <c r="F275" s="978"/>
      <c r="G275" s="1078"/>
      <c r="H275" s="978"/>
      <c r="I275" s="1078"/>
    </row>
    <row r="276" spans="1:9" x14ac:dyDescent="0.25">
      <c r="A276" s="106" t="s">
        <v>144</v>
      </c>
      <c r="B276" s="266" t="s">
        <v>734</v>
      </c>
      <c r="C276" s="361">
        <f>A277</f>
        <v>7</v>
      </c>
      <c r="D276" s="979">
        <v>80</v>
      </c>
      <c r="E276" s="1079">
        <f>IF(D276="AI",$C276,IF(D276&gt;49.9,$C277,IF(D276&gt;0,$C278)))</f>
        <v>5</v>
      </c>
      <c r="F276" s="979" t="s">
        <v>776</v>
      </c>
      <c r="G276" s="1079">
        <f>IF(F276="AI",$C276,IF(F276&gt;49.9,$C277,IF(F276&gt;0,$C278)))</f>
        <v>7</v>
      </c>
      <c r="H276" s="979">
        <v>50</v>
      </c>
      <c r="I276" s="1079">
        <f>IF(H276="AI",$C276,IF(H276&gt;49.9,$C277,IF(H276&gt;0,$C278)))</f>
        <v>5</v>
      </c>
    </row>
    <row r="277" spans="1:9" x14ac:dyDescent="0.25">
      <c r="A277" s="573">
        <v>7</v>
      </c>
      <c r="B277" s="266" t="s">
        <v>1122</v>
      </c>
      <c r="C277" s="362">
        <v>5</v>
      </c>
      <c r="D277" s="980"/>
      <c r="E277" s="1079"/>
      <c r="F277" s="980"/>
      <c r="G277" s="1079"/>
      <c r="H277" s="980"/>
      <c r="I277" s="1079"/>
    </row>
    <row r="278" spans="1:9" x14ac:dyDescent="0.25">
      <c r="A278" s="574"/>
      <c r="B278" s="266" t="s">
        <v>703</v>
      </c>
      <c r="C278" s="362">
        <v>0</v>
      </c>
      <c r="D278" s="981"/>
      <c r="E278" s="1079"/>
      <c r="F278" s="981"/>
      <c r="G278" s="1079"/>
      <c r="H278" s="981"/>
      <c r="I278" s="1079"/>
    </row>
    <row r="279" spans="1:9" x14ac:dyDescent="0.25">
      <c r="A279" s="522" t="s">
        <v>50</v>
      </c>
      <c r="B279" s="528">
        <f>SUM(A261:A278)</f>
        <v>45</v>
      </c>
      <c r="C279" s="527"/>
      <c r="D279" s="524"/>
      <c r="E279" s="524">
        <f>SUM(E261:E278)</f>
        <v>31</v>
      </c>
      <c r="F279" s="524"/>
      <c r="G279" s="524">
        <f>SUM(G261:G278)</f>
        <v>37</v>
      </c>
      <c r="H279" s="524"/>
      <c r="I279" s="524">
        <f>SUM(I261:I278)</f>
        <v>34</v>
      </c>
    </row>
    <row r="280" spans="1:9" x14ac:dyDescent="0.25">
      <c r="A280" s="88"/>
    </row>
    <row r="281" spans="1:9" x14ac:dyDescent="0.25">
      <c r="D281" s="1076" t="str">
        <f>Empresas!$A$68</f>
        <v>COMERCIAL DE INDUSTRIAS REUNIDAS</v>
      </c>
      <c r="E281" s="1076"/>
      <c r="F281" s="1086" t="str">
        <f>Empresas!$A$70</f>
        <v>LAUSAN</v>
      </c>
      <c r="G281" s="1087"/>
      <c r="H281" s="1076" t="str">
        <f>Empresas!$A$74</f>
        <v>SERVITEC</v>
      </c>
      <c r="I281" s="1076"/>
    </row>
    <row r="282" spans="1:9" x14ac:dyDescent="0.25">
      <c r="A282" s="532" t="s">
        <v>615</v>
      </c>
      <c r="B282" s="533"/>
      <c r="C282" s="535"/>
      <c r="D282" s="535"/>
      <c r="E282" s="535"/>
      <c r="F282" s="535"/>
      <c r="G282" s="535"/>
      <c r="H282" s="535"/>
      <c r="I282" s="534"/>
    </row>
    <row r="283" spans="1:9" x14ac:dyDescent="0.25">
      <c r="A283" s="121" t="s">
        <v>751</v>
      </c>
      <c r="B283" s="201" t="s">
        <v>770</v>
      </c>
      <c r="C283" s="358">
        <f>A284</f>
        <v>8</v>
      </c>
      <c r="D283" s="581" t="s">
        <v>108</v>
      </c>
      <c r="E283" s="1078">
        <f>IF(D283="S",$C283,IF(D284="S",$C284,IF(D285="S",$C285,)))</f>
        <v>8</v>
      </c>
      <c r="F283" s="581" t="s">
        <v>108</v>
      </c>
      <c r="G283" s="1078">
        <f>IF(F283="S",$C283,IF(F284="S",$C284,IF(F285="S",$C285,)))</f>
        <v>8</v>
      </c>
      <c r="H283" s="598" t="s">
        <v>108</v>
      </c>
      <c r="I283" s="1078">
        <f>IF(H283="S",$C283,IF(H284="S",$C284,IF(H285="S",$C285,)))</f>
        <v>8</v>
      </c>
    </row>
    <row r="284" spans="1:9" x14ac:dyDescent="0.25">
      <c r="A284" s="315">
        <v>8</v>
      </c>
      <c r="B284" s="201" t="s">
        <v>774</v>
      </c>
      <c r="C284" s="358">
        <v>3</v>
      </c>
      <c r="D284" s="507"/>
      <c r="E284" s="1078"/>
      <c r="F284" s="507"/>
      <c r="G284" s="1078"/>
      <c r="H284" s="507"/>
      <c r="I284" s="1078"/>
    </row>
    <row r="285" spans="1:9" x14ac:dyDescent="0.25">
      <c r="A285" s="316"/>
      <c r="B285" s="201" t="s">
        <v>58</v>
      </c>
      <c r="C285" s="358">
        <v>1</v>
      </c>
      <c r="D285" s="507"/>
      <c r="E285" s="1078"/>
      <c r="F285" s="507"/>
      <c r="G285" s="1078"/>
      <c r="H285" s="507"/>
      <c r="I285" s="1078"/>
    </row>
    <row r="286" spans="1:9" x14ac:dyDescent="0.25">
      <c r="A286" s="68" t="s">
        <v>176</v>
      </c>
      <c r="B286" s="13" t="s">
        <v>771</v>
      </c>
      <c r="C286" s="360">
        <f>A287</f>
        <v>8</v>
      </c>
      <c r="D286" s="580" t="s">
        <v>108</v>
      </c>
      <c r="E286" s="1047">
        <f>IF(D286="S",$C286,IF(D287="S",$C287,IF(D288="S",$C288,)))</f>
        <v>8</v>
      </c>
      <c r="F286" s="580" t="s">
        <v>108</v>
      </c>
      <c r="G286" s="1047">
        <f>IF(F286="S",$C286,IF(F287="S",$C287,IF(F288="S",$C288,)))</f>
        <v>8</v>
      </c>
      <c r="H286" s="597" t="s">
        <v>108</v>
      </c>
      <c r="I286" s="1047">
        <f>IF(H286="S",$C286,IF(H287="S",$C287,IF(H288="S",$C288,)))</f>
        <v>8</v>
      </c>
    </row>
    <row r="287" spans="1:9" x14ac:dyDescent="0.25">
      <c r="A287" s="69">
        <v>8</v>
      </c>
      <c r="B287" s="13" t="s">
        <v>798</v>
      </c>
      <c r="C287" s="360">
        <v>4</v>
      </c>
      <c r="D287" s="580"/>
      <c r="E287" s="1047"/>
      <c r="F287" s="580"/>
      <c r="G287" s="1047"/>
      <c r="H287" s="580"/>
      <c r="I287" s="1047"/>
    </row>
    <row r="288" spans="1:9" x14ac:dyDescent="0.25">
      <c r="A288" s="70"/>
      <c r="B288" s="13" t="s">
        <v>799</v>
      </c>
      <c r="C288" s="360">
        <v>0</v>
      </c>
      <c r="D288" s="580"/>
      <c r="E288" s="1047"/>
      <c r="F288" s="580"/>
      <c r="G288" s="1047"/>
      <c r="H288" s="580"/>
      <c r="I288" s="1047"/>
    </row>
    <row r="289" spans="1:9" x14ac:dyDescent="0.25">
      <c r="A289" s="121" t="s">
        <v>777</v>
      </c>
      <c r="B289" s="115" t="s">
        <v>788</v>
      </c>
      <c r="C289" s="358">
        <f>A290</f>
        <v>8</v>
      </c>
      <c r="D289" s="976">
        <v>30</v>
      </c>
      <c r="E289" s="1078">
        <f>IF(D289&gt;199,$C289,IF(D290&gt;99,$C290,IF(D291&gt;0,$C291,)))</f>
        <v>0</v>
      </c>
      <c r="F289" s="976">
        <v>200</v>
      </c>
      <c r="G289" s="1078">
        <f>IF(F289&gt;199,$C289,IF(F290&gt;99,$C290,IF(F291&gt;0,$C291,)))</f>
        <v>8</v>
      </c>
      <c r="H289" s="976">
        <v>200</v>
      </c>
      <c r="I289" s="1078">
        <f>IF(H289&gt;199,$C289,IF(H290&gt;99,$C290,IF(H291&gt;0,$C291,)))</f>
        <v>8</v>
      </c>
    </row>
    <row r="290" spans="1:9" x14ac:dyDescent="0.25">
      <c r="A290" s="315">
        <v>8</v>
      </c>
      <c r="B290" s="115" t="s">
        <v>789</v>
      </c>
      <c r="C290" s="358">
        <v>3</v>
      </c>
      <c r="D290" s="977"/>
      <c r="E290" s="1078"/>
      <c r="F290" s="977"/>
      <c r="G290" s="1078"/>
      <c r="H290" s="977"/>
      <c r="I290" s="1078"/>
    </row>
    <row r="291" spans="1:9" x14ac:dyDescent="0.25">
      <c r="A291" s="316"/>
      <c r="B291" s="115" t="s">
        <v>790</v>
      </c>
      <c r="C291" s="358">
        <v>0</v>
      </c>
      <c r="D291" s="978"/>
      <c r="E291" s="1078"/>
      <c r="F291" s="978"/>
      <c r="G291" s="1078"/>
      <c r="H291" s="978"/>
      <c r="I291" s="1078"/>
    </row>
    <row r="292" spans="1:9" x14ac:dyDescent="0.25">
      <c r="A292" s="106" t="s">
        <v>778</v>
      </c>
      <c r="B292" s="512" t="s">
        <v>792</v>
      </c>
      <c r="C292" s="360">
        <f>A293</f>
        <v>8</v>
      </c>
      <c r="D292" s="506"/>
      <c r="E292" s="1047">
        <f>IF(D292="S",$C292,IF(D293="S",$C293,IF(D294="S",$C294,)))</f>
        <v>0</v>
      </c>
      <c r="F292" s="580" t="s">
        <v>108</v>
      </c>
      <c r="G292" s="1047">
        <f>IF(F292="S",$C292,IF(F293="S",$C293,IF(F294="S",$C294,)))</f>
        <v>8</v>
      </c>
      <c r="H292" s="506"/>
      <c r="I292" s="1047">
        <f>IF(H292="S",$C292,IF(H293="S",$C293,IF(H294="S",$C294,)))</f>
        <v>0</v>
      </c>
    </row>
    <row r="293" spans="1:9" x14ac:dyDescent="0.25">
      <c r="A293" s="107">
        <v>8</v>
      </c>
      <c r="B293" s="512" t="s">
        <v>793</v>
      </c>
      <c r="C293" s="362">
        <v>4</v>
      </c>
      <c r="D293" s="506"/>
      <c r="E293" s="1047"/>
      <c r="F293" s="506"/>
      <c r="G293" s="1047"/>
      <c r="H293" s="506"/>
      <c r="I293" s="1047"/>
    </row>
    <row r="294" spans="1:9" x14ac:dyDescent="0.25">
      <c r="A294" s="311"/>
      <c r="B294" s="110" t="s">
        <v>791</v>
      </c>
      <c r="C294" s="362">
        <v>0</v>
      </c>
      <c r="D294" s="580" t="s">
        <v>108</v>
      </c>
      <c r="E294" s="1047"/>
      <c r="F294" s="506"/>
      <c r="G294" s="1047"/>
      <c r="H294" s="597" t="s">
        <v>108</v>
      </c>
      <c r="I294" s="1047"/>
    </row>
    <row r="295" spans="1:9" x14ac:dyDescent="0.25">
      <c r="A295" s="121" t="s">
        <v>794</v>
      </c>
      <c r="B295" s="115" t="s">
        <v>797</v>
      </c>
      <c r="C295" s="358">
        <f>A296</f>
        <v>8</v>
      </c>
      <c r="D295" s="581" t="s">
        <v>108</v>
      </c>
      <c r="E295" s="1078">
        <f>IF(D295="S",$C295,IF(D296="S",$C296,IF(D297="S",$C297,)))</f>
        <v>8</v>
      </c>
      <c r="F295" s="581" t="s">
        <v>108</v>
      </c>
      <c r="G295" s="1078">
        <f>IF(F295="S",$C295,IF(F296="S",$C296,IF(F297="S",$C297,)))</f>
        <v>8</v>
      </c>
      <c r="H295" s="598" t="s">
        <v>108</v>
      </c>
      <c r="I295" s="1078">
        <f>IF(H295="S",$C295,IF(H296="S",$C296,IF(H297="S",$C297,)))</f>
        <v>8</v>
      </c>
    </row>
    <row r="296" spans="1:9" x14ac:dyDescent="0.25">
      <c r="A296" s="71">
        <v>8</v>
      </c>
      <c r="B296" s="115" t="s">
        <v>795</v>
      </c>
      <c r="C296" s="358">
        <v>0</v>
      </c>
      <c r="D296" s="581"/>
      <c r="E296" s="1078"/>
      <c r="F296" s="581"/>
      <c r="G296" s="1078"/>
      <c r="H296" s="581"/>
      <c r="I296" s="1078"/>
    </row>
    <row r="297" spans="1:9" x14ac:dyDescent="0.25">
      <c r="A297" s="316"/>
      <c r="B297" s="115" t="s">
        <v>796</v>
      </c>
      <c r="C297" s="358">
        <v>0</v>
      </c>
      <c r="D297" s="581"/>
      <c r="E297" s="1078"/>
      <c r="F297" s="581"/>
      <c r="G297" s="1078"/>
      <c r="H297" s="581"/>
      <c r="I297" s="1078"/>
    </row>
    <row r="298" spans="1:9" s="96" customFormat="1" x14ac:dyDescent="0.25">
      <c r="A298" s="106" t="s">
        <v>779</v>
      </c>
      <c r="B298" s="193" t="s">
        <v>139</v>
      </c>
      <c r="C298" s="361">
        <f>A299</f>
        <v>5</v>
      </c>
      <c r="D298" s="602"/>
      <c r="E298" s="1047">
        <f>IF(D298="S",$C298,IF(D299="S",$C299,))</f>
        <v>0</v>
      </c>
      <c r="F298" s="114" t="s">
        <v>108</v>
      </c>
      <c r="G298" s="1047">
        <f>IF(F298="S",$C298,IF(F299="S",$C299,))</f>
        <v>5</v>
      </c>
      <c r="H298" s="114" t="s">
        <v>108</v>
      </c>
      <c r="I298" s="1047">
        <f>IF(H298="S",$C298,IF(H299="S",$C299,))</f>
        <v>5</v>
      </c>
    </row>
    <row r="299" spans="1:9" s="96" customFormat="1" x14ac:dyDescent="0.25">
      <c r="A299" s="595">
        <v>5</v>
      </c>
      <c r="B299" s="193" t="s">
        <v>780</v>
      </c>
      <c r="C299" s="361">
        <v>0</v>
      </c>
      <c r="D299" s="602" t="s">
        <v>108</v>
      </c>
      <c r="E299" s="1047"/>
      <c r="F299" s="602"/>
      <c r="G299" s="1047"/>
      <c r="H299" s="602"/>
      <c r="I299" s="1047"/>
    </row>
    <row r="300" spans="1:9" x14ac:dyDescent="0.25">
      <c r="A300" s="522" t="s">
        <v>50</v>
      </c>
      <c r="B300" s="528">
        <f>SUM(A283:A299)</f>
        <v>45</v>
      </c>
      <c r="C300" s="527"/>
      <c r="D300" s="524"/>
      <c r="E300" s="524">
        <f>SUM(E283:E299)</f>
        <v>24</v>
      </c>
      <c r="F300" s="524"/>
      <c r="G300" s="524">
        <f>SUM(G283:G299)</f>
        <v>45</v>
      </c>
      <c r="H300" s="524"/>
      <c r="I300" s="524">
        <f>SUM(I283:I299)</f>
        <v>37</v>
      </c>
    </row>
    <row r="303" spans="1:9" ht="14.4" hidden="1" x14ac:dyDescent="0.3">
      <c r="A303" s="317"/>
      <c r="B303" s="317"/>
      <c r="C303" s="317"/>
    </row>
    <row r="304" spans="1:9" hidden="1" x14ac:dyDescent="0.25"/>
    <row r="305" spans="1:10" ht="14.4" hidden="1" x14ac:dyDescent="0.3">
      <c r="A305" s="118" t="s">
        <v>209</v>
      </c>
      <c r="B305" s="917" t="s">
        <v>784</v>
      </c>
      <c r="C305" s="27"/>
      <c r="D305" s="917" t="s">
        <v>210</v>
      </c>
      <c r="E305" s="917"/>
      <c r="F305" s="917"/>
      <c r="I305" s="917"/>
      <c r="J305" s="917"/>
    </row>
    <row r="306" spans="1:10" hidden="1" x14ac:dyDescent="0.25">
      <c r="C306" s="27"/>
      <c r="D306"/>
      <c r="E306" s="96"/>
      <c r="F306"/>
    </row>
    <row r="307" spans="1:10" hidden="1" x14ac:dyDescent="0.25">
      <c r="C307" s="27"/>
      <c r="D307"/>
      <c r="E307" s="96"/>
      <c r="F307"/>
    </row>
    <row r="308" spans="1:10" hidden="1" x14ac:dyDescent="0.25">
      <c r="C308" s="27"/>
      <c r="D308"/>
      <c r="E308" s="96"/>
      <c r="F308"/>
    </row>
    <row r="309" spans="1:10" ht="14.4" hidden="1" x14ac:dyDescent="0.3">
      <c r="A309" s="118" t="s">
        <v>785</v>
      </c>
      <c r="B309" s="917" t="s">
        <v>786</v>
      </c>
      <c r="C309" s="917"/>
      <c r="D309" s="917" t="s">
        <v>787</v>
      </c>
      <c r="E309" s="917"/>
      <c r="F309" s="917"/>
      <c r="I309" s="917"/>
    </row>
    <row r="310" spans="1:10" hidden="1" x14ac:dyDescent="0.25"/>
    <row r="311" spans="1:10" hidden="1" x14ac:dyDescent="0.25"/>
  </sheetData>
  <mergeCells count="447">
    <mergeCell ref="D273:D275"/>
    <mergeCell ref="F273:F275"/>
    <mergeCell ref="H273:H275"/>
    <mergeCell ref="D231:D233"/>
    <mergeCell ref="F231:F233"/>
    <mergeCell ref="D211:E211"/>
    <mergeCell ref="F211:G211"/>
    <mergeCell ref="H211:I211"/>
    <mergeCell ref="E240:E242"/>
    <mergeCell ref="G240:G242"/>
    <mergeCell ref="I240:I242"/>
    <mergeCell ref="E234:E235"/>
    <mergeCell ref="G234:G235"/>
    <mergeCell ref="I234:I235"/>
    <mergeCell ref="I270:I272"/>
    <mergeCell ref="D238:E238"/>
    <mergeCell ref="F238:G238"/>
    <mergeCell ref="H238:I238"/>
    <mergeCell ref="D219:D221"/>
    <mergeCell ref="D222:D224"/>
    <mergeCell ref="D225:D227"/>
    <mergeCell ref="F225:F227"/>
    <mergeCell ref="H225:H227"/>
    <mergeCell ref="D249:D251"/>
    <mergeCell ref="H249:H251"/>
    <mergeCell ref="D252:D254"/>
    <mergeCell ref="F252:F254"/>
    <mergeCell ref="H252:H254"/>
    <mergeCell ref="E255:E256"/>
    <mergeCell ref="G255:G256"/>
    <mergeCell ref="F180:F182"/>
    <mergeCell ref="H180:H182"/>
    <mergeCell ref="F206:F208"/>
    <mergeCell ref="H206:H208"/>
    <mergeCell ref="D213:D215"/>
    <mergeCell ref="F213:F215"/>
    <mergeCell ref="H213:H215"/>
    <mergeCell ref="E206:E208"/>
    <mergeCell ref="G206:G208"/>
    <mergeCell ref="D180:D182"/>
    <mergeCell ref="D192:D194"/>
    <mergeCell ref="E183:E184"/>
    <mergeCell ref="D228:D230"/>
    <mergeCell ref="E219:E221"/>
    <mergeCell ref="G219:G221"/>
    <mergeCell ref="F222:F224"/>
    <mergeCell ref="E195:E197"/>
    <mergeCell ref="G195:G197"/>
    <mergeCell ref="E155:E158"/>
    <mergeCell ref="E159:E160"/>
    <mergeCell ref="E161:E163"/>
    <mergeCell ref="E164:E166"/>
    <mergeCell ref="I177:I179"/>
    <mergeCell ref="F192:F194"/>
    <mergeCell ref="H192:H194"/>
    <mergeCell ref="F190:G190"/>
    <mergeCell ref="H190:I190"/>
    <mergeCell ref="E192:E194"/>
    <mergeCell ref="G192:G194"/>
    <mergeCell ref="I192:I194"/>
    <mergeCell ref="E185:E187"/>
    <mergeCell ref="D190:E190"/>
    <mergeCell ref="D171:E171"/>
    <mergeCell ref="E173:E176"/>
    <mergeCell ref="E180:E182"/>
    <mergeCell ref="I185:I187"/>
    <mergeCell ref="F164:F166"/>
    <mergeCell ref="G164:G166"/>
    <mergeCell ref="I159:I160"/>
    <mergeCell ref="I164:I166"/>
    <mergeCell ref="I180:I182"/>
    <mergeCell ref="I183:I184"/>
    <mergeCell ref="I292:I294"/>
    <mergeCell ref="E295:E297"/>
    <mergeCell ref="G295:G297"/>
    <mergeCell ref="I295:I297"/>
    <mergeCell ref="E252:E254"/>
    <mergeCell ref="G252:G254"/>
    <mergeCell ref="I252:I254"/>
    <mergeCell ref="D259:E259"/>
    <mergeCell ref="F259:G259"/>
    <mergeCell ref="H259:I259"/>
    <mergeCell ref="I255:I256"/>
    <mergeCell ref="E286:E288"/>
    <mergeCell ref="G286:G288"/>
    <mergeCell ref="I286:I288"/>
    <mergeCell ref="E264:E266"/>
    <mergeCell ref="G264:G266"/>
    <mergeCell ref="I264:I266"/>
    <mergeCell ref="E261:E263"/>
    <mergeCell ref="G261:G263"/>
    <mergeCell ref="I261:I263"/>
    <mergeCell ref="E267:E269"/>
    <mergeCell ref="G267:G269"/>
    <mergeCell ref="I267:I269"/>
    <mergeCell ref="D267:D269"/>
    <mergeCell ref="G147:G150"/>
    <mergeCell ref="I132:I135"/>
    <mergeCell ref="H147:H150"/>
    <mergeCell ref="I147:I150"/>
    <mergeCell ref="F136:F138"/>
    <mergeCell ref="I122:I123"/>
    <mergeCell ref="I289:I291"/>
    <mergeCell ref="E273:E275"/>
    <mergeCell ref="G273:G275"/>
    <mergeCell ref="I273:I275"/>
    <mergeCell ref="D281:E281"/>
    <mergeCell ref="F281:G281"/>
    <mergeCell ref="H281:I281"/>
    <mergeCell ref="E283:E285"/>
    <mergeCell ref="G283:G285"/>
    <mergeCell ref="I283:I285"/>
    <mergeCell ref="I276:I278"/>
    <mergeCell ref="D289:D291"/>
    <mergeCell ref="F289:F291"/>
    <mergeCell ref="H289:H291"/>
    <mergeCell ref="E289:E291"/>
    <mergeCell ref="G289:G291"/>
    <mergeCell ref="D276:D278"/>
    <mergeCell ref="H276:H278"/>
    <mergeCell ref="I155:I158"/>
    <mergeCell ref="G120:G121"/>
    <mergeCell ref="H118:H119"/>
    <mergeCell ref="I136:I138"/>
    <mergeCell ref="I139:I141"/>
    <mergeCell ref="H142:H144"/>
    <mergeCell ref="I142:I144"/>
    <mergeCell ref="I145:I146"/>
    <mergeCell ref="G126:G127"/>
    <mergeCell ref="I126:I127"/>
    <mergeCell ref="F130:G130"/>
    <mergeCell ref="H130:I130"/>
    <mergeCell ref="F153:G153"/>
    <mergeCell ref="H153:I153"/>
    <mergeCell ref="G132:G135"/>
    <mergeCell ref="F118:F119"/>
    <mergeCell ref="F120:F121"/>
    <mergeCell ref="F122:F123"/>
    <mergeCell ref="F132:F135"/>
    <mergeCell ref="I118:I119"/>
    <mergeCell ref="I120:I121"/>
    <mergeCell ref="H120:H121"/>
    <mergeCell ref="H122:H123"/>
    <mergeCell ref="F147:F150"/>
    <mergeCell ref="H110:H111"/>
    <mergeCell ref="I110:I111"/>
    <mergeCell ref="H116:H117"/>
    <mergeCell ref="I116:I117"/>
    <mergeCell ref="I94:I96"/>
    <mergeCell ref="H97:H99"/>
    <mergeCell ref="I97:I99"/>
    <mergeCell ref="G94:G96"/>
    <mergeCell ref="I124:I125"/>
    <mergeCell ref="D2:E2"/>
    <mergeCell ref="D75:D77"/>
    <mergeCell ref="E75:E77"/>
    <mergeCell ref="H2:I2"/>
    <mergeCell ref="D50:E50"/>
    <mergeCell ref="F50:G50"/>
    <mergeCell ref="H50:I50"/>
    <mergeCell ref="G72:G74"/>
    <mergeCell ref="F75:F77"/>
    <mergeCell ref="G75:G77"/>
    <mergeCell ref="G57:G59"/>
    <mergeCell ref="G60:G61"/>
    <mergeCell ref="I52:I54"/>
    <mergeCell ref="I55:I56"/>
    <mergeCell ref="I57:I59"/>
    <mergeCell ref="I60:I61"/>
    <mergeCell ref="D62:D64"/>
    <mergeCell ref="E62:E64"/>
    <mergeCell ref="F62:F64"/>
    <mergeCell ref="G62:G64"/>
    <mergeCell ref="F2:G2"/>
    <mergeCell ref="I75:I77"/>
    <mergeCell ref="E72:E74"/>
    <mergeCell ref="I72:I74"/>
    <mergeCell ref="E94:E96"/>
    <mergeCell ref="E136:E138"/>
    <mergeCell ref="E139:E141"/>
    <mergeCell ref="D112:D113"/>
    <mergeCell ref="E112:E113"/>
    <mergeCell ref="E126:E127"/>
    <mergeCell ref="D110:D111"/>
    <mergeCell ref="E110:E111"/>
    <mergeCell ref="G100:G101"/>
    <mergeCell ref="D118:D119"/>
    <mergeCell ref="D122:D123"/>
    <mergeCell ref="E118:E119"/>
    <mergeCell ref="E114:E115"/>
    <mergeCell ref="D104:E104"/>
    <mergeCell ref="F116:F117"/>
    <mergeCell ref="G116:G117"/>
    <mergeCell ref="G106:G109"/>
    <mergeCell ref="F112:F113"/>
    <mergeCell ref="G112:G113"/>
    <mergeCell ref="F114:F115"/>
    <mergeCell ref="G114:G115"/>
    <mergeCell ref="G118:G119"/>
    <mergeCell ref="G136:G138"/>
    <mergeCell ref="G139:G141"/>
    <mergeCell ref="D40:D42"/>
    <mergeCell ref="D43:D45"/>
    <mergeCell ref="F4:F6"/>
    <mergeCell ref="H4:H6"/>
    <mergeCell ref="E10:E12"/>
    <mergeCell ref="E23:E25"/>
    <mergeCell ref="D23:D25"/>
    <mergeCell ref="G23:G25"/>
    <mergeCell ref="E40:E42"/>
    <mergeCell ref="G40:G42"/>
    <mergeCell ref="G43:G45"/>
    <mergeCell ref="E19:E20"/>
    <mergeCell ref="G19:G20"/>
    <mergeCell ref="D13:D15"/>
    <mergeCell ref="F13:F15"/>
    <mergeCell ref="H13:H15"/>
    <mergeCell ref="G4:G6"/>
    <mergeCell ref="G7:G9"/>
    <mergeCell ref="G13:G15"/>
    <mergeCell ref="G16:G18"/>
    <mergeCell ref="D4:D6"/>
    <mergeCell ref="E26:E27"/>
    <mergeCell ref="G26:G27"/>
    <mergeCell ref="E87:E88"/>
    <mergeCell ref="D84:D86"/>
    <mergeCell ref="E46:E47"/>
    <mergeCell ref="H62:H64"/>
    <mergeCell ref="I62:I64"/>
    <mergeCell ref="D57:D59"/>
    <mergeCell ref="F43:F45"/>
    <mergeCell ref="H43:H45"/>
    <mergeCell ref="H75:H77"/>
    <mergeCell ref="E52:E54"/>
    <mergeCell ref="E43:E45"/>
    <mergeCell ref="F70:G70"/>
    <mergeCell ref="D87:D88"/>
    <mergeCell ref="H87:H88"/>
    <mergeCell ref="I87:I88"/>
    <mergeCell ref="F87:F88"/>
    <mergeCell ref="G87:G88"/>
    <mergeCell ref="G78:G80"/>
    <mergeCell ref="F81:F83"/>
    <mergeCell ref="G81:G83"/>
    <mergeCell ref="F84:F86"/>
    <mergeCell ref="G84:G86"/>
    <mergeCell ref="I46:I47"/>
    <mergeCell ref="G52:G54"/>
    <mergeCell ref="I19:I20"/>
    <mergeCell ref="E21:E22"/>
    <mergeCell ref="F171:G171"/>
    <mergeCell ref="H171:I171"/>
    <mergeCell ref="I167:I168"/>
    <mergeCell ref="G167:G168"/>
    <mergeCell ref="I173:I176"/>
    <mergeCell ref="I43:I45"/>
    <mergeCell ref="I40:I42"/>
    <mergeCell ref="F91:F92"/>
    <mergeCell ref="I78:I80"/>
    <mergeCell ref="H81:H83"/>
    <mergeCell ref="I81:I83"/>
    <mergeCell ref="H84:H86"/>
    <mergeCell ref="I84:I86"/>
    <mergeCell ref="E55:E56"/>
    <mergeCell ref="E57:E59"/>
    <mergeCell ref="E60:E61"/>
    <mergeCell ref="D70:E70"/>
    <mergeCell ref="E84:E86"/>
    <mergeCell ref="D81:D83"/>
    <mergeCell ref="E81:E83"/>
    <mergeCell ref="E65:E67"/>
    <mergeCell ref="G65:G67"/>
    <mergeCell ref="I4:I6"/>
    <mergeCell ref="I7:I9"/>
    <mergeCell ref="I13:I15"/>
    <mergeCell ref="I16:I18"/>
    <mergeCell ref="G10:G12"/>
    <mergeCell ref="I10:I12"/>
    <mergeCell ref="E4:E6"/>
    <mergeCell ref="E7:E9"/>
    <mergeCell ref="E13:E15"/>
    <mergeCell ref="E16:E18"/>
    <mergeCell ref="H164:H166"/>
    <mergeCell ref="G159:G160"/>
    <mergeCell ref="G161:G163"/>
    <mergeCell ref="F40:F42"/>
    <mergeCell ref="H40:H42"/>
    <mergeCell ref="D153:E153"/>
    <mergeCell ref="E132:E135"/>
    <mergeCell ref="E100:E101"/>
    <mergeCell ref="D97:D99"/>
    <mergeCell ref="E97:E99"/>
    <mergeCell ref="E106:E109"/>
    <mergeCell ref="E122:E123"/>
    <mergeCell ref="G122:G123"/>
    <mergeCell ref="D114:D115"/>
    <mergeCell ref="D116:D117"/>
    <mergeCell ref="E116:E117"/>
    <mergeCell ref="D164:D166"/>
    <mergeCell ref="E78:E80"/>
    <mergeCell ref="E91:E92"/>
    <mergeCell ref="D89:D90"/>
    <mergeCell ref="E89:E90"/>
    <mergeCell ref="D91:D92"/>
    <mergeCell ref="H70:I70"/>
    <mergeCell ref="G46:G47"/>
    <mergeCell ref="G55:G56"/>
    <mergeCell ref="F57:F59"/>
    <mergeCell ref="I65:I67"/>
    <mergeCell ref="H57:H59"/>
    <mergeCell ref="I161:I163"/>
    <mergeCell ref="F104:G104"/>
    <mergeCell ref="H104:I104"/>
    <mergeCell ref="F97:F99"/>
    <mergeCell ref="G97:G99"/>
    <mergeCell ref="H91:H92"/>
    <mergeCell ref="I91:I92"/>
    <mergeCell ref="H89:H90"/>
    <mergeCell ref="I89:I90"/>
    <mergeCell ref="F89:F90"/>
    <mergeCell ref="G89:G90"/>
    <mergeCell ref="G91:G92"/>
    <mergeCell ref="I112:I113"/>
    <mergeCell ref="H114:H115"/>
    <mergeCell ref="I114:I115"/>
    <mergeCell ref="I100:I101"/>
    <mergeCell ref="I106:I109"/>
    <mergeCell ref="H112:H113"/>
    <mergeCell ref="F110:F111"/>
    <mergeCell ref="G110:G111"/>
    <mergeCell ref="E147:E150"/>
    <mergeCell ref="D147:D150"/>
    <mergeCell ref="E124:E125"/>
    <mergeCell ref="D120:D121"/>
    <mergeCell ref="D173:D176"/>
    <mergeCell ref="F173:F176"/>
    <mergeCell ref="H173:H176"/>
    <mergeCell ref="E177:E179"/>
    <mergeCell ref="G177:G179"/>
    <mergeCell ref="E167:E168"/>
    <mergeCell ref="D132:D135"/>
    <mergeCell ref="D136:D138"/>
    <mergeCell ref="E142:E144"/>
    <mergeCell ref="E145:E146"/>
    <mergeCell ref="E120:E121"/>
    <mergeCell ref="D142:D144"/>
    <mergeCell ref="D130:E130"/>
    <mergeCell ref="G155:G158"/>
    <mergeCell ref="H132:H135"/>
    <mergeCell ref="H136:H138"/>
    <mergeCell ref="G124:G125"/>
    <mergeCell ref="F142:F144"/>
    <mergeCell ref="G142:G144"/>
    <mergeCell ref="G145:G146"/>
    <mergeCell ref="G180:G182"/>
    <mergeCell ref="G183:G184"/>
    <mergeCell ref="G185:G187"/>
    <mergeCell ref="G173:G176"/>
    <mergeCell ref="I222:I224"/>
    <mergeCell ref="E228:E230"/>
    <mergeCell ref="G228:G230"/>
    <mergeCell ref="E202:E203"/>
    <mergeCell ref="G202:G203"/>
    <mergeCell ref="I202:I203"/>
    <mergeCell ref="I219:I221"/>
    <mergeCell ref="F219:F221"/>
    <mergeCell ref="I206:I208"/>
    <mergeCell ref="I200:I201"/>
    <mergeCell ref="I195:I197"/>
    <mergeCell ref="I198:I199"/>
    <mergeCell ref="I204:I205"/>
    <mergeCell ref="G213:G215"/>
    <mergeCell ref="I213:I215"/>
    <mergeCell ref="H219:H221"/>
    <mergeCell ref="I231:I233"/>
    <mergeCell ref="E216:E218"/>
    <mergeCell ref="G216:G218"/>
    <mergeCell ref="I216:I218"/>
    <mergeCell ref="I228:I230"/>
    <mergeCell ref="E231:E233"/>
    <mergeCell ref="E213:E215"/>
    <mergeCell ref="E222:E224"/>
    <mergeCell ref="F228:F230"/>
    <mergeCell ref="H228:H230"/>
    <mergeCell ref="I225:I227"/>
    <mergeCell ref="E298:E299"/>
    <mergeCell ref="G298:G299"/>
    <mergeCell ref="E200:E201"/>
    <mergeCell ref="G200:G201"/>
    <mergeCell ref="E204:E205"/>
    <mergeCell ref="G204:G205"/>
    <mergeCell ref="G222:G224"/>
    <mergeCell ref="E225:E227"/>
    <mergeCell ref="G225:G227"/>
    <mergeCell ref="E292:E294"/>
    <mergeCell ref="G292:G294"/>
    <mergeCell ref="G231:G233"/>
    <mergeCell ref="E276:E278"/>
    <mergeCell ref="F276:F278"/>
    <mergeCell ref="G276:G278"/>
    <mergeCell ref="F267:F269"/>
    <mergeCell ref="F249:F251"/>
    <mergeCell ref="H267:H269"/>
    <mergeCell ref="E270:E272"/>
    <mergeCell ref="G270:G272"/>
    <mergeCell ref="I298:I299"/>
    <mergeCell ref="D195:D197"/>
    <mergeCell ref="F195:F197"/>
    <mergeCell ref="H195:H197"/>
    <mergeCell ref="D206:D208"/>
    <mergeCell ref="D202:D203"/>
    <mergeCell ref="F202:F203"/>
    <mergeCell ref="H202:H203"/>
    <mergeCell ref="E198:E199"/>
    <mergeCell ref="G198:G199"/>
    <mergeCell ref="H222:H224"/>
    <mergeCell ref="E246:E248"/>
    <mergeCell ref="G246:G248"/>
    <mergeCell ref="I246:I248"/>
    <mergeCell ref="E249:E251"/>
    <mergeCell ref="E243:E245"/>
    <mergeCell ref="G243:G245"/>
    <mergeCell ref="I243:I245"/>
    <mergeCell ref="G249:G251"/>
    <mergeCell ref="I249:I251"/>
    <mergeCell ref="H231:H233"/>
    <mergeCell ref="I26:I27"/>
    <mergeCell ref="G21:G22"/>
    <mergeCell ref="I21:I22"/>
    <mergeCell ref="F37:F39"/>
    <mergeCell ref="H37:H39"/>
    <mergeCell ref="E37:E39"/>
    <mergeCell ref="F30:G30"/>
    <mergeCell ref="H30:I30"/>
    <mergeCell ref="G32:G34"/>
    <mergeCell ref="G35:G36"/>
    <mergeCell ref="G37:G39"/>
    <mergeCell ref="I32:I34"/>
    <mergeCell ref="I35:I36"/>
    <mergeCell ref="I37:I39"/>
    <mergeCell ref="I23:I25"/>
    <mergeCell ref="F23:F25"/>
    <mergeCell ref="H23:H25"/>
    <mergeCell ref="D30:E30"/>
    <mergeCell ref="E32:E34"/>
    <mergeCell ref="E35:E36"/>
    <mergeCell ref="D37:D39"/>
  </mergeCells>
  <phoneticPr fontId="33" type="noConversion"/>
  <pageMargins left="0.78740157480314965" right="0.78740157480314965" top="0.98425196850393704" bottom="0.78740157480314965" header="0.78740157480314965" footer="0.78740157480314965"/>
  <pageSetup paperSize="9" scale="41" fitToHeight="14" orientation="landscape" horizontalDpi="300" verticalDpi="300" r:id="rId1"/>
  <headerFooter alignWithMargins="0">
    <oddHeader xml:space="preserve">&amp;L&amp;"Arial,Negrita"ANEXO I&amp;C&amp;12Lote 4. Mobiliario general&amp;RPágina &amp;P de &amp;N  </oddHeader>
  </headerFooter>
  <rowBreaks count="4" manualBreakCount="4">
    <brk id="69" max="8" man="1"/>
    <brk id="152" max="16383" man="1"/>
    <brk id="210" max="8" man="1"/>
    <brk id="2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</vt:i4>
      </vt:variant>
    </vt:vector>
  </HeadingPairs>
  <TitlesOfParts>
    <vt:vector size="22" baseType="lpstr">
      <vt:lpstr>Empresas</vt:lpstr>
      <vt:lpstr>Lote 1</vt:lpstr>
      <vt:lpstr>Lote 1 - Items</vt:lpstr>
      <vt:lpstr>Lote 2</vt:lpstr>
      <vt:lpstr>Lote 2 - Items</vt:lpstr>
      <vt:lpstr>Lote 3</vt:lpstr>
      <vt:lpstr>Lote 3 - Items</vt:lpstr>
      <vt:lpstr>Lote 4</vt:lpstr>
      <vt:lpstr>Lote 4 - Items</vt:lpstr>
      <vt:lpstr>Lote 5</vt:lpstr>
      <vt:lpstr>Lote 5 - Items</vt:lpstr>
      <vt:lpstr>Lote 6</vt:lpstr>
      <vt:lpstr>Lote 6 - Items</vt:lpstr>
      <vt:lpstr>Tablas</vt:lpstr>
      <vt:lpstr>Valoración</vt:lpstr>
      <vt:lpstr>Mejoras y Puntos Totales</vt:lpstr>
      <vt:lpstr>Muestras</vt:lpstr>
      <vt:lpstr>Hoja1</vt:lpstr>
      <vt:lpstr>Hoja2</vt:lpstr>
      <vt:lpstr>Hoja3</vt:lpstr>
      <vt:lpstr>'Lote 4 - Items'!Print_Area</vt:lpstr>
      <vt:lpstr>Tablas!Print_Area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Contrata</cp:lastModifiedBy>
  <cp:lastPrinted>2012-06-11T10:33:11Z</cp:lastPrinted>
  <dcterms:created xsi:type="dcterms:W3CDTF">2010-01-27T11:27:34Z</dcterms:created>
  <dcterms:modified xsi:type="dcterms:W3CDTF">2012-06-25T12:23:53Z</dcterms:modified>
</cp:coreProperties>
</file>